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620" activeTab="0"/>
  </bookViews>
  <sheets>
    <sheet name="Pump Selection Guide" sheetId="1" r:id="rId1"/>
  </sheets>
  <definedNames/>
  <calcPr fullCalcOnLoad="1"/>
</workbook>
</file>

<file path=xl/sharedStrings.xml><?xml version="1.0" encoding="utf-8"?>
<sst xmlns="http://schemas.openxmlformats.org/spreadsheetml/2006/main" count="112" uniqueCount="78">
  <si>
    <t>Pump Selection Guide</t>
  </si>
  <si>
    <t>Lists:</t>
  </si>
  <si>
    <t>size</t>
  </si>
  <si>
    <t>Select Mainline Size</t>
  </si>
  <si>
    <t>0.5"</t>
  </si>
  <si>
    <t>0.75"</t>
  </si>
  <si>
    <t>1"</t>
  </si>
  <si>
    <t>1.25"</t>
  </si>
  <si>
    <t>1.5"</t>
  </si>
  <si>
    <t>2"</t>
  </si>
  <si>
    <t>2.5"</t>
  </si>
  <si>
    <t>3"</t>
  </si>
  <si>
    <t>4"</t>
  </si>
  <si>
    <t>5"</t>
  </si>
  <si>
    <t>6"</t>
  </si>
  <si>
    <t>8"</t>
  </si>
  <si>
    <t>10"</t>
  </si>
  <si>
    <t>12"</t>
  </si>
  <si>
    <t>14"</t>
  </si>
  <si>
    <t>16"</t>
  </si>
  <si>
    <t>Select Type of Pipe</t>
  </si>
  <si>
    <t>C value</t>
  </si>
  <si>
    <t>ID</t>
  </si>
  <si>
    <t>Class 160</t>
  </si>
  <si>
    <t>Class 200</t>
  </si>
  <si>
    <t>Sch 40</t>
  </si>
  <si>
    <t>1" Rainbird DV</t>
  </si>
  <si>
    <t xml:space="preserve">Sch 80 </t>
  </si>
  <si>
    <t>Velocity in Pipe</t>
  </si>
  <si>
    <t>Type K Copper</t>
  </si>
  <si>
    <t>Total Dynamic Head (TDH), ft</t>
  </si>
  <si>
    <t>PSI Loss in Run of Pipe</t>
  </si>
  <si>
    <t>ID of selection</t>
  </si>
  <si>
    <t>psi loss in run of pipe</t>
  </si>
  <si>
    <t>velocity in pipe</t>
  </si>
  <si>
    <t>Horsepower Required</t>
  </si>
  <si>
    <t>GPM</t>
  </si>
  <si>
    <t>DV valve</t>
  </si>
  <si>
    <t>PGA valve (globe)</t>
  </si>
  <si>
    <t>PGA valve (angle)</t>
  </si>
  <si>
    <t>PEB valve</t>
  </si>
  <si>
    <t>Pumps Available:</t>
  </si>
  <si>
    <t>Select Valve Type</t>
  </si>
  <si>
    <t>max flow</t>
  </si>
  <si>
    <t>min flow</t>
  </si>
  <si>
    <t>psi loss</t>
  </si>
  <si>
    <t>3/4"</t>
  </si>
  <si>
    <t>(pump(s) listed may not be ideal, ask a W.P. Law professional for best selection)</t>
  </si>
  <si>
    <t xml:space="preserve"> 3/4" Rainbird DV</t>
  </si>
  <si>
    <t>1" Rainbird PEB</t>
  </si>
  <si>
    <t>1" Rainbird PGA "angle"</t>
  </si>
  <si>
    <t>1" Rainbird PGA "globe"</t>
  </si>
  <si>
    <t>1.5" Rainbird PEB</t>
  </si>
  <si>
    <t>1.5" Rainbird PGA "angle"</t>
  </si>
  <si>
    <t>1.5" Rainbird PGA "globe"</t>
  </si>
  <si>
    <t>2" Rainbird PEB</t>
  </si>
  <si>
    <t>2" Rainbird PGA "angle"</t>
  </si>
  <si>
    <t>2" Rainbird PGA "globe"</t>
  </si>
  <si>
    <t>hp required</t>
  </si>
  <si>
    <t>GDGT10</t>
  </si>
  <si>
    <t>GDGT15</t>
  </si>
  <si>
    <t>GDGT20</t>
  </si>
  <si>
    <t>file:///\\wplaw.wplawinc.com\share\departments\website\flash drive info\reference charts\pump info\gould's gt curve.pdf</t>
  </si>
  <si>
    <t>SRHMSF</t>
  </si>
  <si>
    <t>MULP1502B</t>
  </si>
  <si>
    <t>BESHM2</t>
  </si>
  <si>
    <t>file:///\\wplaw.wplawinc.com\share\departments\website\flash drive info\reference charts\pump info\MONROE PUMP CURVE.pdf</t>
  </si>
  <si>
    <t>file:///\\wplaw.wplawinc.com\share\departments\website\flash drive info\reference charts\pump info\BESSHM2 CURVE.pdf</t>
  </si>
  <si>
    <t>BESSHM2</t>
  </si>
  <si>
    <t>TDH</t>
  </si>
  <si>
    <t>file:///\\wplaw.wplawinc.com\share\departments\website\flash drive info\reference charts\pump info\SRHMSF CURVE.pdf</t>
  </si>
  <si>
    <t>Elevation, ft (from water source to highest, farthest sprinkler)</t>
  </si>
  <si>
    <t>Main Line Size, in</t>
  </si>
  <si>
    <t>Type of Pipe Used</t>
  </si>
  <si>
    <t>Main Line Length, ft</t>
  </si>
  <si>
    <t>Type of Valve</t>
  </si>
  <si>
    <t>Desired Pressure, PSI</t>
  </si>
  <si>
    <t>Desired Flow, GPM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</si>
</sst>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7" fontId="6" fillId="3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20" applyFill="1" applyAlignment="1">
      <alignment/>
    </xf>
    <xf numFmtId="0" fontId="0" fillId="4" borderId="0" xfId="0" applyFill="1" applyAlignment="1">
      <alignment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wplawinc.com/" TargetMode="External" /><Relationship Id="rId3" Type="http://schemas.openxmlformats.org/officeDocument/2006/relationships/hyperlink" Target="http://www.wplawinc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38100</xdr:rowOff>
    </xdr:from>
    <xdr:to>
      <xdr:col>2</xdr:col>
      <xdr:colOff>542925</xdr:colOff>
      <xdr:row>30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38575"/>
          <a:ext cx="17716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wplaw.wplawinc.com\departments\website\flash%20drive%20info\reference%20charts\pump%20info\gould's%20gt%20curve.pdf" TargetMode="External" /><Relationship Id="rId2" Type="http://schemas.openxmlformats.org/officeDocument/2006/relationships/hyperlink" Target="\\wplaw.wplawinc.com\departments\website\flash%20drive%20info\reference%20charts\pump%20info\gould's%20gt%20curve.pdf" TargetMode="External" /><Relationship Id="rId3" Type="http://schemas.openxmlformats.org/officeDocument/2006/relationships/hyperlink" Target="\\wplaw.wplawinc.com\departments\website\flash%20drive%20info\reference%20charts\pump%20info\MONROE%20PUMP%20CURVE.pdf" TargetMode="External" /><Relationship Id="rId4" Type="http://schemas.openxmlformats.org/officeDocument/2006/relationships/hyperlink" Target="\\wplaw.wplawinc.com\departments\website\flash%20drive%20info\reference%20charts\pump%20info\BESSHM2%20CURVE.pdf" TargetMode="External" /><Relationship Id="rId5" Type="http://schemas.openxmlformats.org/officeDocument/2006/relationships/hyperlink" Target="\\wplaw.wplawinc.com\departments\website\flash%20drive%20info\reference%20charts\pump%20info\SRHMSF%20CURVE.pdf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260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2" max="2" width="18.421875" style="0" customWidth="1"/>
    <col min="3" max="3" width="23.00390625" style="0" bestFit="1" customWidth="1"/>
    <col min="4" max="4" width="2.7109375" style="24" customWidth="1"/>
    <col min="6" max="6" width="9.421875" style="0" customWidth="1"/>
    <col min="7" max="7" width="9.8515625" style="0" customWidth="1"/>
    <col min="8" max="8" width="10.28125" style="0" customWidth="1"/>
    <col min="9" max="9" width="11.140625" style="0" customWidth="1"/>
    <col min="10" max="10" width="23.140625" style="0" customWidth="1"/>
    <col min="15" max="15" width="22.28125" style="0" hidden="1" customWidth="1"/>
    <col min="16" max="18" width="9.140625" style="0" hidden="1" customWidth="1"/>
    <col min="19" max="19" width="12.421875" style="0" hidden="1" customWidth="1"/>
    <col min="20" max="24" width="9.140625" style="0" hidden="1" customWidth="1"/>
    <col min="25" max="25" width="12.57421875" style="0" hidden="1" customWidth="1"/>
    <col min="26" max="34" width="9.140625" style="0" hidden="1" customWidth="1"/>
    <col min="35" max="35" width="0" style="0" hidden="1" customWidth="1"/>
  </cols>
  <sheetData>
    <row r="2" spans="2:10" ht="21">
      <c r="B2" s="41" t="s">
        <v>0</v>
      </c>
      <c r="C2" s="42"/>
      <c r="D2" s="42"/>
      <c r="E2" s="42"/>
      <c r="F2" s="42"/>
      <c r="G2" s="42"/>
      <c r="H2" s="42"/>
      <c r="I2" s="42"/>
      <c r="J2" s="43"/>
    </row>
    <row r="3" spans="2:33" ht="12.75">
      <c r="B3" s="1"/>
      <c r="C3" s="2"/>
      <c r="D3" s="3"/>
      <c r="E3" s="2"/>
      <c r="F3" s="2"/>
      <c r="G3" s="2"/>
      <c r="H3" s="2"/>
      <c r="I3" s="2"/>
      <c r="J3" s="4"/>
      <c r="O3" t="s">
        <v>1</v>
      </c>
      <c r="R3" s="39" t="s">
        <v>2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2:33" ht="15">
      <c r="B4" s="6"/>
      <c r="C4" s="7"/>
      <c r="D4" s="8"/>
      <c r="E4" s="7"/>
      <c r="F4" s="7"/>
      <c r="G4" s="7"/>
      <c r="H4" s="7"/>
      <c r="I4" s="7"/>
      <c r="J4" s="9"/>
      <c r="Q4" t="s">
        <v>3</v>
      </c>
      <c r="R4" s="5" t="s">
        <v>4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9</v>
      </c>
      <c r="X4" s="5" t="s">
        <v>10</v>
      </c>
      <c r="Y4" s="5" t="s">
        <v>11</v>
      </c>
      <c r="Z4" s="5" t="s">
        <v>12</v>
      </c>
      <c r="AA4" s="5" t="s">
        <v>13</v>
      </c>
      <c r="AB4" s="5" t="s">
        <v>14</v>
      </c>
      <c r="AC4" s="5" t="s">
        <v>15</v>
      </c>
      <c r="AD4" s="5" t="s">
        <v>16</v>
      </c>
      <c r="AE4" s="5" t="s">
        <v>17</v>
      </c>
      <c r="AF4" s="5" t="s">
        <v>18</v>
      </c>
      <c r="AG4" s="5" t="s">
        <v>19</v>
      </c>
    </row>
    <row r="5" spans="2:33" ht="15">
      <c r="B5" s="6"/>
      <c r="C5" s="37">
        <v>20</v>
      </c>
      <c r="D5" s="10"/>
      <c r="E5" s="7" t="s">
        <v>71</v>
      </c>
      <c r="F5" s="7"/>
      <c r="G5" s="7"/>
      <c r="H5" s="7"/>
      <c r="I5" s="7"/>
      <c r="J5" s="9"/>
      <c r="O5" s="5" t="s">
        <v>20</v>
      </c>
      <c r="P5" s="5" t="s">
        <v>21</v>
      </c>
      <c r="Q5" s="5"/>
      <c r="R5" s="39" t="s">
        <v>22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2:47" ht="15">
      <c r="B6" s="6"/>
      <c r="C6" s="37" t="s">
        <v>6</v>
      </c>
      <c r="D6" s="10"/>
      <c r="E6" s="7" t="s">
        <v>72</v>
      </c>
      <c r="F6" s="7"/>
      <c r="G6" s="7"/>
      <c r="H6" s="7"/>
      <c r="I6" s="7"/>
      <c r="J6" s="9"/>
      <c r="O6" t="s">
        <v>23</v>
      </c>
      <c r="P6">
        <v>150</v>
      </c>
      <c r="Q6">
        <f>SUM(R6:AG6)</f>
        <v>0</v>
      </c>
      <c r="R6" s="11">
        <f>IF($C$6&lt;&gt;R4,"",0.716)</f>
      </c>
      <c r="S6" s="11">
        <f>IF($C$6&lt;&gt;S4,"",0.93)</f>
      </c>
      <c r="T6" s="11">
        <f>IF($C$6&lt;&gt;$T$4,"","")</f>
      </c>
      <c r="U6" s="11">
        <f>IF($C$6&lt;&gt;$U$4,"",1.532)</f>
      </c>
      <c r="V6" s="11">
        <f>IF($C$6&lt;&gt;$V$4,"",1.754)</f>
      </c>
      <c r="W6" s="11">
        <f>IF($C$6&lt;&gt;$W$4,"",2.193)</f>
      </c>
      <c r="X6" s="11">
        <f>IF($C$6&lt;&gt;$X$4,"",2.655)</f>
      </c>
      <c r="Y6" s="11">
        <f>IF($C$6&lt;&gt;$Y$4,"",3.23)</f>
      </c>
      <c r="Z6" s="11">
        <f>IF($C$6&lt;&gt;$Z$4,"",4.154)</f>
      </c>
      <c r="AA6" s="11">
        <f>IF($C$6&lt;&gt;$AA$4,"",5.135)</f>
      </c>
      <c r="AB6" s="11">
        <f>IF($C$6&lt;&gt;$AB$4,"",6.115)</f>
      </c>
      <c r="AC6" s="11">
        <f>IF($C$6&lt;&gt;$AC$4,"",7.961)</f>
      </c>
      <c r="AD6" s="11">
        <f>IF($C$6&lt;&gt;$AD$4,"",9.924)</f>
      </c>
      <c r="AE6" s="11">
        <f>IF($C$6&lt;&gt;$AE$4,"",11.77)</f>
      </c>
      <c r="AF6" s="11">
        <f>IF($C$6&lt;&gt;$AF$4,"",12.924)</f>
      </c>
      <c r="AG6" s="11">
        <f>IF($C$6&lt;&gt;$AG$4,"",17.77)</f>
      </c>
      <c r="AH6" s="12"/>
      <c r="AI6" s="12"/>
      <c r="AK6" s="12"/>
      <c r="AM6" s="12"/>
      <c r="AO6" s="12"/>
      <c r="AQ6" s="12"/>
      <c r="AS6" s="12"/>
      <c r="AU6" s="12"/>
    </row>
    <row r="7" spans="2:37" ht="15">
      <c r="B7" s="6"/>
      <c r="C7" s="37" t="s">
        <v>24</v>
      </c>
      <c r="D7" s="10"/>
      <c r="E7" s="7" t="s">
        <v>73</v>
      </c>
      <c r="F7" s="7"/>
      <c r="G7" s="40">
        <f>IF(Q13=0,"Choose different pipe size or type","")</f>
      </c>
      <c r="H7" s="40"/>
      <c r="I7" s="40"/>
      <c r="J7" s="44"/>
      <c r="O7" t="s">
        <v>24</v>
      </c>
      <c r="P7">
        <v>150</v>
      </c>
      <c r="Q7">
        <f>SUM(R7:AG7)</f>
        <v>1.189</v>
      </c>
      <c r="R7" s="11">
        <f>IF($C$6&lt;&gt;R4,"","")</f>
      </c>
      <c r="S7" s="11">
        <f>IF($C$6&lt;&gt;S4,"",0.93)</f>
      </c>
      <c r="T7" s="11">
        <f>IF($C$6&lt;&gt;T4,"",1.189)</f>
        <v>1.189</v>
      </c>
      <c r="U7" s="11">
        <f>IF($C$6&lt;&gt;$U$4,"",1.502)</f>
      </c>
      <c r="V7" s="11">
        <f>IF($C$6&lt;&gt;$V$4,"",1.72)</f>
      </c>
      <c r="W7" s="11">
        <f>IF($C$6&lt;&gt;$W$4,"",2.149)</f>
      </c>
      <c r="X7" s="11">
        <f>IF($C$6&lt;&gt;$X$4,"",2.601)</f>
      </c>
      <c r="Y7" s="11">
        <f>IF($C$6&lt;&gt;$Y$4,"",3.166)</f>
      </c>
      <c r="Z7" s="11">
        <f>IF($C$6&lt;&gt;$Z$4,"",4.072)</f>
      </c>
      <c r="AA7" s="11">
        <f>IF($C$6&lt;&gt;$AA$4,"","")</f>
      </c>
      <c r="AB7" s="11">
        <f>IF($C$6&lt;&gt;$AB$4,"",5.993)</f>
      </c>
      <c r="AC7" s="11">
        <f>IF($C$6&lt;&gt;$AC$4,"",7.805)</f>
      </c>
      <c r="AD7" s="11">
        <f>IF($C$6&lt;&gt;$AD$4,"","")</f>
      </c>
      <c r="AE7" s="11">
        <f>IF($C$6&lt;&gt;$AE$4,"","")</f>
      </c>
      <c r="AF7" s="11">
        <f>IF($C$6&lt;&gt;$AF$4,"","")</f>
      </c>
      <c r="AG7" s="11">
        <f>IF($C$6&lt;&gt;$AG$4,"","")</f>
      </c>
      <c r="AI7" s="12"/>
      <c r="AK7" s="12"/>
    </row>
    <row r="8" spans="2:39" ht="15">
      <c r="B8" s="6"/>
      <c r="C8" s="37">
        <v>350</v>
      </c>
      <c r="D8" s="10"/>
      <c r="E8" s="7" t="s">
        <v>74</v>
      </c>
      <c r="F8" s="7"/>
      <c r="G8" s="7"/>
      <c r="H8" s="7"/>
      <c r="I8" s="7"/>
      <c r="J8" s="9"/>
      <c r="O8" t="s">
        <v>25</v>
      </c>
      <c r="P8">
        <v>150</v>
      </c>
      <c r="Q8">
        <f>SUM(R8:AG8)</f>
        <v>1.049</v>
      </c>
      <c r="R8" s="11">
        <f>IF($C$6&lt;&gt;R4,"",0.622)</f>
      </c>
      <c r="S8" s="11">
        <f>IF($C$6&lt;&gt;S4,"",0.824)</f>
      </c>
      <c r="T8" s="11">
        <f>IF($C$6&lt;&gt;T4,"",1.049)</f>
        <v>1.049</v>
      </c>
      <c r="U8" s="11">
        <f>IF($C$6&lt;&gt;$U$4,"",1.38)</f>
      </c>
      <c r="V8" s="11">
        <f>IF($C$6&lt;&gt;$V$4,"",1.61)</f>
      </c>
      <c r="W8" s="11">
        <f>IF($C$6&lt;&gt;$W$4,"",2.067)</f>
      </c>
      <c r="X8" s="11">
        <f>IF($C$6&lt;&gt;$X$4,"",2.469)</f>
      </c>
      <c r="Y8" s="11">
        <f>IF($C$6&lt;&gt;$Y$4,"",3.068)</f>
      </c>
      <c r="Z8" s="11">
        <f>IF($C$6&lt;&gt;$Z$4,"",4.026)</f>
      </c>
      <c r="AA8" s="11">
        <f>IF($C$6&lt;&gt;$AA$4,"",5.047)</f>
      </c>
      <c r="AB8" s="11">
        <f>IF($C$6&lt;&gt;$AB$4,"",6.065)</f>
      </c>
      <c r="AC8" s="11">
        <f>IF($C$6&lt;&gt;$AC$4,"",7.981)</f>
      </c>
      <c r="AD8" s="11">
        <f>IF($C$6&lt;&gt;$AD$4,"",10.02)</f>
      </c>
      <c r="AE8" s="11">
        <f>IF($C$6&lt;&gt;$AE$4,"",11.938)</f>
      </c>
      <c r="AF8" s="11">
        <f>IF($C$6&lt;&gt;$AF$4,"",13.124)</f>
      </c>
      <c r="AG8" s="11">
        <f>IF($C$6&lt;&gt;$AG$4,"",15)</f>
      </c>
      <c r="AI8" s="12"/>
      <c r="AK8" s="12"/>
      <c r="AM8" s="12"/>
    </row>
    <row r="9" spans="2:41" ht="15">
      <c r="B9" s="6"/>
      <c r="C9" s="37" t="s">
        <v>26</v>
      </c>
      <c r="D9" s="10"/>
      <c r="E9" s="7" t="s">
        <v>75</v>
      </c>
      <c r="F9" s="7"/>
      <c r="G9" s="40">
        <f>IF(LOOKUP(C9,O17:P27)&lt;C11,"Flow Too High for Valve Size",IF(LOOKUP(C9,O17:O27,Q17:Q27)&gt;C11,"Flow Too Low for Valve Size",IF(LOOKUP(C9,O17:O27,R17:R27)="","Flow Outside Valve Parameters","")))</f>
      </c>
      <c r="H9" s="40"/>
      <c r="I9" s="40"/>
      <c r="J9" s="9"/>
      <c r="O9" t="s">
        <v>27</v>
      </c>
      <c r="P9">
        <v>150</v>
      </c>
      <c r="Q9">
        <f>SUM(R9:AG9)</f>
        <v>0.957</v>
      </c>
      <c r="R9" s="11">
        <f>IF($C$6&lt;&gt;R4,"",0.546)</f>
      </c>
      <c r="S9" s="11">
        <f>IF($C$6&lt;&gt;S4,"",0.742)</f>
      </c>
      <c r="T9" s="11">
        <f>IF($C$6&lt;&gt;T4,"",0.957)</f>
        <v>0.957</v>
      </c>
      <c r="U9" s="11">
        <f>IF($C$6&lt;&gt;$U$4,"",1.278)</f>
      </c>
      <c r="V9" s="11">
        <f>IF($C$6&lt;&gt;$V$4,"",1.5)</f>
      </c>
      <c r="W9" s="11">
        <f>IF($C$6&lt;&gt;$W$4,"",1.939)</f>
      </c>
      <c r="X9" s="11">
        <f>IF($C$6&lt;&gt;$X$4,"",2.323)</f>
      </c>
      <c r="Y9" s="11">
        <f>IF($C$6&lt;&gt;$Y$4,"",2.9)</f>
      </c>
      <c r="Z9" s="11">
        <f>IF($C$6&lt;&gt;$Z$4,"",3.826)</f>
      </c>
      <c r="AA9" s="11">
        <f>IF($C$6&lt;&gt;$AA$4,"",4.813)</f>
      </c>
      <c r="AB9" s="11">
        <f>IF($C$6&lt;&gt;$AB$4,"",5.761)</f>
      </c>
      <c r="AC9" s="11">
        <f>IF($C$6&lt;&gt;$AC$4,"",7.625)</f>
      </c>
      <c r="AD9" s="11">
        <f>IF($C$6&lt;&gt;$AD$4,"",9.564)</f>
      </c>
      <c r="AE9" s="11">
        <f>IF($C$6&lt;&gt;$AE$4,"",11.376)</f>
      </c>
      <c r="AF9" s="11">
        <f>IF($C$6&lt;&gt;$AF$4,"",12.5)</f>
      </c>
      <c r="AG9" s="11">
        <f>IF($C$6&lt;&gt;$AG$4,"",14.314)</f>
      </c>
      <c r="AI9" s="12"/>
      <c r="AK9" s="12"/>
      <c r="AM9" s="12"/>
      <c r="AO9" s="12"/>
    </row>
    <row r="10" spans="2:35" ht="15">
      <c r="B10" s="6"/>
      <c r="C10" s="37">
        <v>45</v>
      </c>
      <c r="D10" s="10"/>
      <c r="E10" s="7" t="s">
        <v>76</v>
      </c>
      <c r="F10" s="7"/>
      <c r="G10" s="7"/>
      <c r="H10" s="7"/>
      <c r="I10" s="7"/>
      <c r="J10" s="13" t="s">
        <v>28</v>
      </c>
      <c r="O10" t="s">
        <v>29</v>
      </c>
      <c r="P10">
        <v>140</v>
      </c>
      <c r="Q10">
        <f>SUM(R10:AG10)</f>
        <v>0.995</v>
      </c>
      <c r="R10" s="11">
        <f>IF($C$6&lt;&gt;R4,"",0.527)</f>
      </c>
      <c r="S10" s="11">
        <f>IF($C$6&lt;&gt;S4,"",0.745)</f>
      </c>
      <c r="T10" s="11">
        <f>IF($C$6&lt;&gt;T4,"",0.995)</f>
        <v>0.995</v>
      </c>
      <c r="U10" s="11">
        <f>IF($C$6&lt;&gt;$U$4,"",1.245)</f>
      </c>
      <c r="V10" s="11">
        <f>IF($C$6&lt;&gt;$V$4,"",1.481)</f>
      </c>
      <c r="W10" s="11">
        <f>IF($C$6&lt;&gt;$W$4,"",1.959)</f>
      </c>
      <c r="X10" s="11">
        <f>IF($C$6&lt;&gt;$X$4,"",2.435)</f>
      </c>
      <c r="Y10" s="11">
        <f>IF($C$6&lt;&gt;$Y$4,"",2.907)</f>
      </c>
      <c r="Z10" s="11">
        <f>IF($C$6&lt;&gt;$Z$4,"","")</f>
      </c>
      <c r="AA10" s="11">
        <f>IF($C$6&lt;&gt;$AA$4,"","")</f>
      </c>
      <c r="AB10" s="11">
        <f>IF($C$6&lt;&gt;$AB$4,"","")</f>
      </c>
      <c r="AC10" s="11">
        <f>IF($C$6&lt;&gt;$AC$4,"","")</f>
      </c>
      <c r="AD10" s="11">
        <f>IF($C$6&lt;&gt;$AD$4,"","")</f>
      </c>
      <c r="AE10" s="11">
        <f>IF($C$6&lt;&gt;$AE$4,"","")</f>
      </c>
      <c r="AF10" s="11">
        <f>IF($C$6&lt;&gt;$AF$4,"","")</f>
      </c>
      <c r="AG10" s="11">
        <f>IF($C$6&lt;&gt;$AG$4,"","")</f>
      </c>
      <c r="AI10" s="12"/>
    </row>
    <row r="11" spans="2:33" ht="15">
      <c r="B11" s="6"/>
      <c r="C11" s="37">
        <v>15</v>
      </c>
      <c r="D11" s="10"/>
      <c r="E11" s="7" t="s">
        <v>77</v>
      </c>
      <c r="F11" s="7"/>
      <c r="G11" s="40">
        <f>IF(U13&gt;5,"Velocity Too High for Pipe Size","")</f>
      </c>
      <c r="H11" s="40"/>
      <c r="I11" s="40"/>
      <c r="J11" s="14" t="str">
        <f>CONCATENATE(ROUND(0.408*(C11/Q13^2),3)," ","ft/sec")</f>
        <v>4.329 ft/sec</v>
      </c>
      <c r="R11" s="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6"/>
    </row>
    <row r="12" spans="2:33" ht="15">
      <c r="B12" s="6"/>
      <c r="C12" s="17">
        <f>IF(ISERROR((C5+(C10*2.31)+(S13*2.31)+(LOOKUP(C9,O17:O27,R17:R27)*2.31))),(C5+(C10*2.31)+(S13*2.31)),(C5+(C10*2.31)+(S13*2.31)+(LOOKUP(C9,O17:O27,R17:R27)*2.31)))</f>
        <v>155.06486842289294</v>
      </c>
      <c r="D12" s="10"/>
      <c r="E12" s="7" t="s">
        <v>30</v>
      </c>
      <c r="F12" s="7"/>
      <c r="G12" s="7"/>
      <c r="H12" s="7"/>
      <c r="I12" s="7"/>
      <c r="J12" s="13" t="s">
        <v>31</v>
      </c>
      <c r="Q12" t="s">
        <v>32</v>
      </c>
      <c r="R12" s="5"/>
      <c r="S12" s="15" t="s">
        <v>33</v>
      </c>
      <c r="T12" s="15"/>
      <c r="U12" s="15" t="s">
        <v>34</v>
      </c>
      <c r="V12" s="15"/>
      <c r="W12" s="15"/>
      <c r="X12" s="15"/>
      <c r="Y12" s="15"/>
      <c r="Z12" s="15"/>
      <c r="AA12" s="15"/>
      <c r="AB12" s="15"/>
      <c r="AC12" s="15"/>
      <c r="AD12" s="5"/>
      <c r="AE12" s="16"/>
      <c r="AF12" s="18"/>
      <c r="AG12" s="16"/>
    </row>
    <row r="13" spans="2:33" ht="15">
      <c r="B13" s="6"/>
      <c r="C13" s="19" t="str">
        <f>CONCATENATE(ROUND((C12*C11)/(3960*0.65),2)," ","hp")</f>
        <v>0.9 hp</v>
      </c>
      <c r="D13" s="8"/>
      <c r="E13" s="7" t="s">
        <v>35</v>
      </c>
      <c r="F13" s="7"/>
      <c r="G13" s="7"/>
      <c r="H13" s="7"/>
      <c r="I13" s="7"/>
      <c r="J13" s="20" t="str">
        <f>CONCATENATE(ROUND(((0.2083*(100/(LOOKUP($C$7,$O$6:$P$10)))^1.852*($C$11^1.852/$Q$13^4.866))*0.433)*($C$8/100),3)," ","psi")</f>
        <v>9.67 psi</v>
      </c>
      <c r="Q13">
        <f>LOOKUP(C7,O6:O10,Q6:Q10)</f>
        <v>1.189</v>
      </c>
      <c r="R13" s="15"/>
      <c r="S13" s="15">
        <f>((0.2083*(100/(LOOKUP($C$7,$O$6:$P$10)))^1.852*($C$11^1.852/$Q$13^4.866))*0.433)*($C$8/100)</f>
        <v>9.669640009910367</v>
      </c>
      <c r="T13" s="15"/>
      <c r="U13" s="15">
        <f>0.408*(C11/Q13^2)</f>
        <v>4.329001266869487</v>
      </c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</row>
    <row r="14" spans="2:33" ht="15">
      <c r="B14" s="6"/>
      <c r="C14" s="7"/>
      <c r="D14" s="8"/>
      <c r="E14" s="7"/>
      <c r="F14" s="7"/>
      <c r="G14" s="7"/>
      <c r="H14" s="7"/>
      <c r="I14" s="7"/>
      <c r="J14" s="9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</row>
    <row r="15" spans="2:33" ht="15">
      <c r="B15" s="6"/>
      <c r="C15" s="7"/>
      <c r="D15" s="8"/>
      <c r="E15" s="7"/>
      <c r="F15" s="7"/>
      <c r="G15" s="7"/>
      <c r="H15" s="7"/>
      <c r="I15" s="7"/>
      <c r="J15" s="9"/>
      <c r="T15" s="15" t="s">
        <v>36</v>
      </c>
      <c r="U15" s="39" t="s">
        <v>37</v>
      </c>
      <c r="V15" s="39"/>
      <c r="W15" s="38" t="s">
        <v>38</v>
      </c>
      <c r="X15" s="38"/>
      <c r="Y15" s="38"/>
      <c r="Z15" s="39" t="s">
        <v>39</v>
      </c>
      <c r="AA15" s="39"/>
      <c r="AB15" s="39"/>
      <c r="AC15" s="38" t="s">
        <v>40</v>
      </c>
      <c r="AD15" s="38"/>
      <c r="AE15" s="38"/>
      <c r="AF15" s="18"/>
      <c r="AG15" s="16"/>
    </row>
    <row r="16" spans="2:33" ht="15">
      <c r="B16" s="21" t="str">
        <f>IF(OR(C16=$Y$41,C16=$Y$42,C16=$Y$43),HYPERLINK($X$34,"Click for Curve"),IF(C16=$Y$44,HYPERLINK($X$37,"Click for Curve"),IF(C16=$Y$45,HYPERLINK($X$38,"Click for Curve"),IF(C16=$Y$46,HYPERLINK($X$39,"Click for Curve"),""))))</f>
        <v>Click for Curve</v>
      </c>
      <c r="C16" s="22" t="str">
        <f>IF($Z$41=1,$Y$41,IF($Z$42=1,$Y$42,IF($Z$43=1,$Y$43,IF($Z$44=1,$Y$44,IF($Z$45=1,$Y$45,IF($Z$46=1,$Y$46,"Custom Pump Needed"))))))</f>
        <v>SRHMSF</v>
      </c>
      <c r="D16" s="8"/>
      <c r="E16" s="7" t="s">
        <v>41</v>
      </c>
      <c r="F16" s="7"/>
      <c r="G16" s="7"/>
      <c r="H16" s="7"/>
      <c r="I16" s="7"/>
      <c r="J16" s="9"/>
      <c r="O16" t="s">
        <v>42</v>
      </c>
      <c r="P16" t="s">
        <v>43</v>
      </c>
      <c r="Q16" t="s">
        <v>44</v>
      </c>
      <c r="R16" t="s">
        <v>45</v>
      </c>
      <c r="S16" s="5" t="s">
        <v>2</v>
      </c>
      <c r="U16" s="23" t="s">
        <v>46</v>
      </c>
      <c r="V16" s="5" t="s">
        <v>6</v>
      </c>
      <c r="W16" s="5" t="s">
        <v>6</v>
      </c>
      <c r="X16" s="5" t="s">
        <v>8</v>
      </c>
      <c r="Y16" s="5" t="s">
        <v>9</v>
      </c>
      <c r="Z16" s="5" t="s">
        <v>6</v>
      </c>
      <c r="AA16" s="5" t="s">
        <v>8</v>
      </c>
      <c r="AB16" s="5" t="s">
        <v>9</v>
      </c>
      <c r="AC16" s="5" t="s">
        <v>6</v>
      </c>
      <c r="AD16" s="5" t="s">
        <v>8</v>
      </c>
      <c r="AE16" s="5" t="s">
        <v>9</v>
      </c>
      <c r="AG16" s="24"/>
    </row>
    <row r="17" spans="2:32" ht="15">
      <c r="B17" s="21" t="str">
        <f>IF(OR(C17=$Y$41,C17=$Y$42,C17=$Y$43),HYPERLINK($X$34,"Click for Curve"),IF(C17=$Y$44,HYPERLINK($X$37,"Click for Curve"),IF(C17=$Y$45,HYPERLINK($X$38,"Click for Curve"),IF(C17=$Y$46,HYPERLINK($X$39,"Click for Curve"),""))))</f>
        <v>Click for Curve</v>
      </c>
      <c r="C17" s="22" t="str">
        <f>IF($Z$41=2,$Y$41,IF($Z$42=2,$Y$42,IF($Z$43=2,$Y$43,IF($Z$44=2,$Y$44,IF($Z$45=2,$Y$45,IF($Z$46=2,$Y$46,""))))))</f>
        <v>BESSHM2</v>
      </c>
      <c r="D17" s="8"/>
      <c r="E17" s="7" t="s">
        <v>47</v>
      </c>
      <c r="F17" s="7"/>
      <c r="G17" s="7"/>
      <c r="H17" s="7"/>
      <c r="I17" s="7"/>
      <c r="J17" s="9"/>
      <c r="O17" t="s">
        <v>48</v>
      </c>
      <c r="P17" s="5">
        <v>22</v>
      </c>
      <c r="Q17" s="5">
        <v>0.2</v>
      </c>
      <c r="R17" s="5">
        <f>IF(LOOKUP($C$11,$T$17:$T$30,U17:U30)&lt;&gt;0,LOOKUP($C$11,$T$17:$T$30,U17:U30),"")</f>
        <v>5</v>
      </c>
      <c r="T17">
        <v>1</v>
      </c>
      <c r="U17" s="25">
        <v>3.2</v>
      </c>
      <c r="V17" s="25">
        <v>3.3</v>
      </c>
      <c r="W17" s="25">
        <v>5.1</v>
      </c>
      <c r="X17" s="25"/>
      <c r="Y17" s="25"/>
      <c r="Z17" s="25">
        <v>4.3</v>
      </c>
      <c r="AA17" s="25"/>
      <c r="AB17" s="25"/>
      <c r="AC17" s="25">
        <v>1.3</v>
      </c>
      <c r="AD17" s="25"/>
      <c r="AE17" s="25"/>
      <c r="AF17" s="26">
        <v>1</v>
      </c>
    </row>
    <row r="18" spans="2:32" ht="15">
      <c r="B18" s="21" t="str">
        <f>IF(OR(C18=$Y$41,C18=$Y$42,C18=$Y$43),HYPERLINK($X$34,"Click for Curve"),IF(C18=$Y$44,HYPERLINK($X$37,"Click for Curve"),IF(C18=$Y$45,HYPERLINK($X$38,"Click for Curve"),IF(C18=$Y$46,HYPERLINK($X$39,"Click for Curve"),""))))</f>
        <v>Click for Curve</v>
      </c>
      <c r="C18" s="22" t="str">
        <f>IF($Z$41=3,$Y$41,IF($Z$42=3,$Y$42,IF($Z$43=3,$Y$43,IF($Z$44=3,$Y$44,IF($Z$45=3,$Y$45,IF($Z$46=3,$Y$46,""))))))</f>
        <v>MULP1502B</v>
      </c>
      <c r="D18" s="8"/>
      <c r="E18" s="7"/>
      <c r="F18" s="7"/>
      <c r="G18" s="7"/>
      <c r="H18" s="7"/>
      <c r="I18" s="7"/>
      <c r="J18" s="9"/>
      <c r="O18" t="s">
        <v>26</v>
      </c>
      <c r="P18" s="5">
        <v>40</v>
      </c>
      <c r="Q18" s="5">
        <v>0.2</v>
      </c>
      <c r="R18" s="5">
        <f>IF(LOOKUP($C$11,$T$17:$T$30,V17:V30)&lt;&gt;0,LOOKUP($C$11,$T$17:$T$30,V17:V30),"")</f>
        <v>3.8</v>
      </c>
      <c r="T18">
        <v>3</v>
      </c>
      <c r="U18" s="25">
        <v>3.9</v>
      </c>
      <c r="V18" s="25">
        <v>3.6</v>
      </c>
      <c r="W18" s="25">
        <v>5.3</v>
      </c>
      <c r="X18" s="25"/>
      <c r="Y18" s="25"/>
      <c r="Z18" s="27"/>
      <c r="AA18" s="25"/>
      <c r="AB18" s="25"/>
      <c r="AC18" s="27"/>
      <c r="AD18" s="25"/>
      <c r="AE18" s="25"/>
      <c r="AF18" s="26">
        <v>3</v>
      </c>
    </row>
    <row r="19" spans="2:32" ht="15">
      <c r="B19" s="28"/>
      <c r="C19" s="29">
        <f>IF($O$30&lt;=1,S37,IF($O$30&lt;=1.5,T37,IF($O$30&lt;=2,U37,"")))</f>
        <v>0</v>
      </c>
      <c r="D19" s="30"/>
      <c r="E19" s="31"/>
      <c r="F19" s="31"/>
      <c r="G19" s="31"/>
      <c r="H19" s="31"/>
      <c r="I19" s="31"/>
      <c r="J19" s="32"/>
      <c r="O19" t="s">
        <v>49</v>
      </c>
      <c r="P19" s="5">
        <v>50</v>
      </c>
      <c r="Q19" s="5">
        <v>5</v>
      </c>
      <c r="R19" s="5">
        <f>IF(LOOKUP($C$11,$T$17:$T$30,AC17:AC30)&lt;&gt;0,LOOKUP($C$11,$T$17:$T$30,AC17:AC30),"")</f>
        <v>1.8</v>
      </c>
      <c r="T19">
        <v>5</v>
      </c>
      <c r="U19" s="25">
        <v>4.2</v>
      </c>
      <c r="V19" s="25">
        <v>3.8</v>
      </c>
      <c r="W19" s="25">
        <v>5.5</v>
      </c>
      <c r="X19" s="25"/>
      <c r="Y19" s="25"/>
      <c r="Z19" s="25">
        <v>5</v>
      </c>
      <c r="AA19" s="25"/>
      <c r="AB19" s="25"/>
      <c r="AC19" s="25">
        <v>1.7</v>
      </c>
      <c r="AD19" s="25"/>
      <c r="AE19" s="25"/>
      <c r="AF19" s="26">
        <v>5</v>
      </c>
    </row>
    <row r="20" spans="15:32" ht="12.75">
      <c r="O20" t="s">
        <v>50</v>
      </c>
      <c r="P20" s="5">
        <v>40</v>
      </c>
      <c r="Q20" s="5">
        <v>5</v>
      </c>
      <c r="R20" s="5">
        <f>IF(LOOKUP($C$11,$T$17:$T$30,Z17:Z30)&lt;&gt;0,LOOKUP($C$11,$T$17:$T$30,Z17:Z30),"")</f>
        <v>5.5</v>
      </c>
      <c r="T20">
        <v>10</v>
      </c>
      <c r="U20" s="25">
        <v>5</v>
      </c>
      <c r="V20" s="25">
        <v>3.8</v>
      </c>
      <c r="W20" s="25">
        <v>5.9</v>
      </c>
      <c r="X20" s="25"/>
      <c r="Y20" s="25"/>
      <c r="Z20" s="25">
        <v>5.5</v>
      </c>
      <c r="AA20" s="25"/>
      <c r="AB20" s="25"/>
      <c r="AC20" s="25">
        <v>1.8</v>
      </c>
      <c r="AD20" s="25"/>
      <c r="AE20" s="25"/>
      <c r="AF20" s="26">
        <v>10</v>
      </c>
    </row>
    <row r="21" spans="15:32" ht="12.75">
      <c r="O21" t="s">
        <v>51</v>
      </c>
      <c r="P21" s="5">
        <v>40</v>
      </c>
      <c r="Q21" s="5">
        <v>5</v>
      </c>
      <c r="R21" s="5">
        <f>IF(LOOKUP($C$11,$T$17:$T$30,W17:W30)&lt;&gt;0,LOOKUP($C$11,$T$17:$T$30,W17:W30),"")</f>
        <v>5.9</v>
      </c>
      <c r="T21">
        <v>20</v>
      </c>
      <c r="U21" s="25">
        <v>7.7</v>
      </c>
      <c r="V21" s="25">
        <v>5.1</v>
      </c>
      <c r="W21" s="25">
        <v>6</v>
      </c>
      <c r="X21" s="25"/>
      <c r="Y21" s="25"/>
      <c r="Z21" s="25">
        <v>5.6</v>
      </c>
      <c r="AA21" s="25"/>
      <c r="AB21" s="25"/>
      <c r="AC21" s="25">
        <v>2.9</v>
      </c>
      <c r="AD21" s="25">
        <v>3.9</v>
      </c>
      <c r="AE21" s="25"/>
      <c r="AF21" s="26">
        <v>20</v>
      </c>
    </row>
    <row r="22" spans="15:32" ht="12.75">
      <c r="O22" t="s">
        <v>52</v>
      </c>
      <c r="P22" s="5">
        <v>150</v>
      </c>
      <c r="Q22" s="5">
        <v>10</v>
      </c>
      <c r="R22" s="5">
        <f>IF(LOOKUP($C$11,$T$17:$T$30,AD17:AD30)&lt;&gt;0,LOOKUP($C$11,$T$17:$T$30,AD17:AD30),"")</f>
      </c>
      <c r="T22">
        <v>30</v>
      </c>
      <c r="U22" s="25"/>
      <c r="V22" s="25">
        <v>6.4</v>
      </c>
      <c r="W22" s="25">
        <v>6.4</v>
      </c>
      <c r="X22" s="25">
        <v>1.9</v>
      </c>
      <c r="Y22" s="25"/>
      <c r="Z22" s="25">
        <v>5.5</v>
      </c>
      <c r="AA22" s="25">
        <v>1.3</v>
      </c>
      <c r="AB22" s="25"/>
      <c r="AC22" s="25">
        <v>5.6</v>
      </c>
      <c r="AD22" s="25">
        <v>3.6</v>
      </c>
      <c r="AE22" s="25"/>
      <c r="AF22" s="26">
        <v>30</v>
      </c>
    </row>
    <row r="23" spans="15:32" ht="12.75">
      <c r="O23" t="s">
        <v>53</v>
      </c>
      <c r="P23" s="5">
        <v>100</v>
      </c>
      <c r="Q23" s="5">
        <v>30</v>
      </c>
      <c r="R23" s="5">
        <f>IF(LOOKUP($C$11,$T$17:$T$30,AA17:AA30)&lt;&gt;0,LOOKUP($C$11,$T$17:$T$30,AA17:AA30),"")</f>
      </c>
      <c r="T23">
        <v>40</v>
      </c>
      <c r="U23" s="25"/>
      <c r="V23" s="25">
        <v>8.6</v>
      </c>
      <c r="W23" s="25">
        <v>7</v>
      </c>
      <c r="X23" s="25">
        <v>3.2</v>
      </c>
      <c r="Y23" s="25">
        <v>1.2</v>
      </c>
      <c r="Z23" s="25">
        <v>7.5</v>
      </c>
      <c r="AA23" s="25">
        <v>2</v>
      </c>
      <c r="AB23" s="25">
        <v>1</v>
      </c>
      <c r="AC23" s="25">
        <v>10</v>
      </c>
      <c r="AD23" s="25">
        <v>3.5</v>
      </c>
      <c r="AE23" s="25"/>
      <c r="AF23" s="26">
        <v>40</v>
      </c>
    </row>
    <row r="24" spans="15:32" ht="12.75">
      <c r="O24" t="s">
        <v>54</v>
      </c>
      <c r="P24" s="5">
        <v>100</v>
      </c>
      <c r="Q24" s="5">
        <v>30</v>
      </c>
      <c r="R24" s="5">
        <f>IF(LOOKUP($C$11,$T$17:$T$30,X17:X30)&lt;&gt;0,LOOKUP($C$11,$T$17:$T$30,X17:X30),"")</f>
      </c>
      <c r="T24">
        <v>50</v>
      </c>
      <c r="U24" s="25"/>
      <c r="V24" s="25"/>
      <c r="W24" s="25"/>
      <c r="X24" s="25">
        <v>4.8</v>
      </c>
      <c r="Y24" s="25">
        <v>1.5</v>
      </c>
      <c r="Z24" s="25"/>
      <c r="AA24" s="25">
        <v>3</v>
      </c>
      <c r="AB24" s="25">
        <v>0.9</v>
      </c>
      <c r="AC24" s="25">
        <v>15.6</v>
      </c>
      <c r="AD24" s="25">
        <v>3.6</v>
      </c>
      <c r="AE24" s="25">
        <v>4.8</v>
      </c>
      <c r="AF24" s="26">
        <v>50</v>
      </c>
    </row>
    <row r="25" spans="3:32" ht="12.75">
      <c r="C25" s="33"/>
      <c r="O25" t="s">
        <v>55</v>
      </c>
      <c r="P25" s="5">
        <v>200</v>
      </c>
      <c r="Q25" s="5">
        <v>75</v>
      </c>
      <c r="R25" s="5">
        <f>IF($C$11&gt;T30,0,IF(LOOKUP($C$11,$T$17:$T$30,AE17:AE30)&lt;&gt;0,LOOKUP($C$11,$T$17:$T$30,AE17:AE30),""))</f>
      </c>
      <c r="T25">
        <v>75</v>
      </c>
      <c r="U25" s="25"/>
      <c r="V25" s="25"/>
      <c r="W25" s="25"/>
      <c r="X25" s="25">
        <v>11.1</v>
      </c>
      <c r="Y25" s="25">
        <v>3</v>
      </c>
      <c r="Z25" s="25"/>
      <c r="AA25" s="25">
        <v>6.5</v>
      </c>
      <c r="AB25" s="25">
        <v>1.7</v>
      </c>
      <c r="AC25" s="25"/>
      <c r="AD25" s="25">
        <v>5.4</v>
      </c>
      <c r="AE25" s="25">
        <v>4.5</v>
      </c>
      <c r="AF25" s="26">
        <v>75</v>
      </c>
    </row>
    <row r="26" spans="3:32" ht="12.75">
      <c r="C26" s="34"/>
      <c r="O26" t="s">
        <v>56</v>
      </c>
      <c r="P26" s="5">
        <v>150</v>
      </c>
      <c r="Q26" s="5">
        <v>40</v>
      </c>
      <c r="R26" s="5">
        <f>IF(LOOKUP($C$11,$T$17:$T$30,AB17:AB30)&lt;&gt;0,LOOKUP($C$11,$T$17:$T$30,AB17:AB30),"")</f>
      </c>
      <c r="T26">
        <v>100</v>
      </c>
      <c r="U26" s="25"/>
      <c r="V26" s="25"/>
      <c r="W26" s="25"/>
      <c r="X26" s="25">
        <v>19.2</v>
      </c>
      <c r="Y26" s="25">
        <v>5.5</v>
      </c>
      <c r="Z26" s="25"/>
      <c r="AA26" s="25">
        <v>11.7</v>
      </c>
      <c r="AB26" s="25">
        <v>3</v>
      </c>
      <c r="AC26" s="25"/>
      <c r="AD26" s="25">
        <v>9.6</v>
      </c>
      <c r="AE26" s="25">
        <v>5.2</v>
      </c>
      <c r="AF26" s="26">
        <v>100</v>
      </c>
    </row>
    <row r="27" spans="3:32" ht="12.75">
      <c r="C27" s="34"/>
      <c r="O27" t="s">
        <v>57</v>
      </c>
      <c r="P27" s="5">
        <v>150</v>
      </c>
      <c r="Q27" s="5">
        <v>40</v>
      </c>
      <c r="R27" s="5">
        <f>IF(LOOKUP($C$11,$T$17:$T$30,Y17:Y30)&lt;&gt;0,LOOKUP($C$11,$T$17:$T$30,Y17:Y30),"")</f>
      </c>
      <c r="T27">
        <v>125</v>
      </c>
      <c r="U27" s="25"/>
      <c r="V27" s="25"/>
      <c r="W27" s="25"/>
      <c r="X27" s="25"/>
      <c r="Y27" s="25">
        <v>8.6</v>
      </c>
      <c r="Z27" s="25"/>
      <c r="AA27" s="25"/>
      <c r="AB27" s="25">
        <v>4.8</v>
      </c>
      <c r="AC27" s="25"/>
      <c r="AD27" s="25">
        <v>14.6</v>
      </c>
      <c r="AE27" s="25">
        <v>8.2</v>
      </c>
      <c r="AF27" s="26">
        <v>125</v>
      </c>
    </row>
    <row r="28" spans="3:32" ht="12.75">
      <c r="C28" s="34"/>
      <c r="T28">
        <v>150</v>
      </c>
      <c r="U28" s="25"/>
      <c r="V28" s="25"/>
      <c r="W28" s="25"/>
      <c r="X28" s="25"/>
      <c r="Y28" s="25">
        <v>12</v>
      </c>
      <c r="Z28" s="25"/>
      <c r="AA28" s="25"/>
      <c r="AB28" s="25">
        <v>6.5</v>
      </c>
      <c r="AC28" s="25"/>
      <c r="AD28" s="25">
        <v>21.2</v>
      </c>
      <c r="AE28" s="25">
        <v>11.8</v>
      </c>
      <c r="AF28" s="26">
        <v>150</v>
      </c>
    </row>
    <row r="29" spans="15:32" ht="12.75">
      <c r="O29" t="s">
        <v>58</v>
      </c>
      <c r="T29">
        <v>175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>
        <v>15.5</v>
      </c>
      <c r="AF29" s="26">
        <v>175</v>
      </c>
    </row>
    <row r="30" spans="15:32" ht="12.75">
      <c r="O30">
        <f>(C12*C11)/(3960*0.65)</f>
        <v>0.903641424375833</v>
      </c>
      <c r="T30">
        <v>200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>
        <v>19.5</v>
      </c>
      <c r="AF30" s="26">
        <v>200</v>
      </c>
    </row>
    <row r="31" spans="15:33" ht="12.75">
      <c r="O31">
        <f>ROUNDUP(O30,0)</f>
        <v>1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20:33" ht="12.75"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9:33" ht="12.75">
      <c r="S33">
        <v>1</v>
      </c>
      <c r="T33">
        <v>1.5</v>
      </c>
      <c r="U33">
        <v>2</v>
      </c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9:33" ht="12.75">
      <c r="S34" t="s">
        <v>59</v>
      </c>
      <c r="T34" t="s">
        <v>60</v>
      </c>
      <c r="U34" t="s">
        <v>61</v>
      </c>
      <c r="V34" s="24"/>
      <c r="W34" s="24"/>
      <c r="X34" s="35" t="s">
        <v>62</v>
      </c>
      <c r="Y34" s="24" t="s">
        <v>59</v>
      </c>
      <c r="Z34" s="24">
        <f>IF(W40=1,V40,"")</f>
      </c>
      <c r="AA34" s="24"/>
      <c r="AB34" s="24"/>
      <c r="AC34" s="24"/>
      <c r="AD34" s="24"/>
      <c r="AE34" s="24"/>
      <c r="AF34" s="24"/>
      <c r="AG34" s="24"/>
    </row>
    <row r="35" spans="20:33" ht="12.75">
      <c r="T35" s="24" t="s">
        <v>63</v>
      </c>
      <c r="U35" t="s">
        <v>64</v>
      </c>
      <c r="V35" s="24"/>
      <c r="W35" s="24"/>
      <c r="X35" s="35" t="s">
        <v>62</v>
      </c>
      <c r="Y35" s="24" t="s">
        <v>60</v>
      </c>
      <c r="Z35" s="24">
        <f>IF(W52=1,V52,"")</f>
      </c>
      <c r="AA35" s="24"/>
      <c r="AB35" s="24"/>
      <c r="AC35" s="24"/>
      <c r="AD35" s="24"/>
      <c r="AE35" s="24"/>
      <c r="AF35" s="24"/>
      <c r="AG35" s="24"/>
    </row>
    <row r="36" spans="20:33" ht="12.75">
      <c r="T36" s="24"/>
      <c r="U36" s="33" t="s">
        <v>65</v>
      </c>
      <c r="V36" s="33"/>
      <c r="W36" s="24"/>
      <c r="X36" s="35" t="s">
        <v>62</v>
      </c>
      <c r="Y36" s="24" t="s">
        <v>61</v>
      </c>
      <c r="Z36" s="24">
        <f>IF(W65=1,V65,"")</f>
      </c>
      <c r="AA36" s="24"/>
      <c r="AB36" s="24"/>
      <c r="AC36" s="24"/>
      <c r="AD36" s="24"/>
      <c r="AE36" s="24"/>
      <c r="AF36" s="24"/>
      <c r="AG36" s="24"/>
    </row>
    <row r="37" spans="20:33" ht="12.75">
      <c r="T37" s="24"/>
      <c r="U37" s="24"/>
      <c r="V37" s="24"/>
      <c r="W37" s="24"/>
      <c r="X37" s="35" t="s">
        <v>66</v>
      </c>
      <c r="Y37" s="24" t="s">
        <v>64</v>
      </c>
      <c r="Z37" s="24">
        <f>IF(W83=1,V83,"")</f>
        <v>45</v>
      </c>
      <c r="AA37" s="24"/>
      <c r="AB37" s="24"/>
      <c r="AC37" s="24"/>
      <c r="AD37" s="24"/>
      <c r="AE37" s="24"/>
      <c r="AF37" s="24"/>
      <c r="AG37" s="24"/>
    </row>
    <row r="38" spans="20:33" ht="12.75">
      <c r="T38" s="24"/>
      <c r="U38" s="24"/>
      <c r="V38" s="24"/>
      <c r="W38" s="24"/>
      <c r="X38" s="35" t="s">
        <v>67</v>
      </c>
      <c r="Y38" s="24" t="s">
        <v>68</v>
      </c>
      <c r="Z38" s="24">
        <f>IF(W100=1,V100,"")</f>
        <v>40</v>
      </c>
      <c r="AA38" s="24"/>
      <c r="AB38" s="24"/>
      <c r="AC38" s="24"/>
      <c r="AD38" s="24"/>
      <c r="AE38" s="24"/>
      <c r="AF38" s="24"/>
      <c r="AG38" s="24"/>
    </row>
    <row r="39" spans="20:33" ht="12.75">
      <c r="T39" s="24" t="s">
        <v>69</v>
      </c>
      <c r="U39" s="24" t="s">
        <v>36</v>
      </c>
      <c r="V39" s="24"/>
      <c r="W39" s="24"/>
      <c r="X39" s="35" t="s">
        <v>70</v>
      </c>
      <c r="Y39" s="24" t="s">
        <v>63</v>
      </c>
      <c r="Z39" s="24">
        <f>IF(W113=1,V113,"")</f>
        <v>15</v>
      </c>
      <c r="AA39" s="24"/>
      <c r="AB39" s="24"/>
      <c r="AC39" s="24"/>
      <c r="AD39" s="24"/>
      <c r="AE39" s="24"/>
      <c r="AF39" s="24"/>
      <c r="AG39" s="24"/>
    </row>
    <row r="40" spans="19:33" ht="12.75">
      <c r="S40" t="s">
        <v>59</v>
      </c>
      <c r="T40" s="27">
        <v>45</v>
      </c>
      <c r="U40" s="27">
        <v>55</v>
      </c>
      <c r="V40" s="24">
        <f>IF(ISERROR(VLOOKUP($C$12,$T$40:$U$49,2)),"",VLOOKUP($C$12,$T$40:$U$49,2))</f>
        <v>10</v>
      </c>
      <c r="W40" s="24">
        <f>IF(V40&gt;=$C$11,1,0)</f>
        <v>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20:33" ht="12.75">
      <c r="T41" s="27">
        <v>55</v>
      </c>
      <c r="U41" s="27">
        <v>50</v>
      </c>
      <c r="V41" s="24"/>
      <c r="W41" s="24"/>
      <c r="X41" s="24"/>
      <c r="Y41" s="24" t="s">
        <v>59</v>
      </c>
      <c r="Z41" s="24">
        <f>IF(ISERROR(RANK(Z34,$Z$34:$Z$39,1)+COUNTIF($Z$34:Z34,Z34)-1),"",RANK(Z34,$Z$34:$Z$39,1)+COUNTIF($Z$34:Z34,Z34)-1)</f>
      </c>
      <c r="AA41" s="24"/>
      <c r="AB41" s="24"/>
      <c r="AC41" s="24"/>
      <c r="AD41" s="24"/>
      <c r="AE41" s="24"/>
      <c r="AF41" s="24"/>
      <c r="AG41" s="24"/>
    </row>
    <row r="42" spans="20:33" ht="12.75">
      <c r="T42" s="27">
        <v>70</v>
      </c>
      <c r="U42" s="27">
        <v>45</v>
      </c>
      <c r="V42" s="24"/>
      <c r="W42" s="24"/>
      <c r="X42" s="24"/>
      <c r="Y42" s="24" t="s">
        <v>60</v>
      </c>
      <c r="Z42" s="24">
        <f>IF(ISERROR(RANK(Z35,$Z$34:$Z$39,1)+COUNTIF($Z$34:Z35,Z35)-1),"",RANK(Z35,$Z$34:$Z$39,1)+COUNTIF($Z$34:Z35,Z35)-1)</f>
      </c>
      <c r="AA42" s="24"/>
      <c r="AB42" s="24"/>
      <c r="AC42" s="24"/>
      <c r="AD42" s="24"/>
      <c r="AE42" s="24"/>
      <c r="AF42" s="24"/>
      <c r="AG42" s="24"/>
    </row>
    <row r="43" spans="20:33" ht="12.75">
      <c r="T43" s="27">
        <v>81</v>
      </c>
      <c r="U43" s="27">
        <v>40</v>
      </c>
      <c r="V43" s="24"/>
      <c r="W43" s="24"/>
      <c r="X43" s="24"/>
      <c r="Y43" s="24" t="s">
        <v>61</v>
      </c>
      <c r="Z43" s="24">
        <f>IF(ISERROR(RANK(Z36,$Z$34:$Z$39,1)+COUNTIF($Z$34:Z36,Z36)-1),"",RANK(Z36,$Z$34:$Z$39,1)+COUNTIF($Z$34:Z36,Z36)-1)</f>
      </c>
      <c r="AA43" s="24"/>
      <c r="AB43" s="24"/>
      <c r="AC43" s="24"/>
      <c r="AD43" s="24"/>
      <c r="AE43" s="24"/>
      <c r="AF43" s="24"/>
      <c r="AG43" s="24"/>
    </row>
    <row r="44" spans="20:33" ht="12.75">
      <c r="T44" s="27">
        <v>90</v>
      </c>
      <c r="U44" s="27">
        <v>35</v>
      </c>
      <c r="V44" s="24"/>
      <c r="W44" s="24"/>
      <c r="X44" s="24"/>
      <c r="Y44" s="24" t="s">
        <v>64</v>
      </c>
      <c r="Z44" s="24">
        <f>IF(ISERROR(RANK(Z37,$Z$34:$Z$39,1)+COUNTIF($Z$34:Z37,Z37)-1),"",RANK(Z37,$Z$34:$Z$39,1)+COUNTIF($Z$34:Z37,Z37)-1)</f>
        <v>3</v>
      </c>
      <c r="AA44" s="24"/>
      <c r="AB44" s="24"/>
      <c r="AC44" s="24"/>
      <c r="AD44" s="24"/>
      <c r="AE44" s="24"/>
      <c r="AF44" s="24"/>
      <c r="AG44" s="24"/>
    </row>
    <row r="45" spans="20:33" ht="12.75">
      <c r="T45" s="27">
        <v>97</v>
      </c>
      <c r="U45" s="27">
        <v>30</v>
      </c>
      <c r="V45" s="24"/>
      <c r="W45" s="24"/>
      <c r="X45" s="24"/>
      <c r="Y45" s="24" t="s">
        <v>68</v>
      </c>
      <c r="Z45" s="24">
        <f>IF(ISERROR(RANK(Z38,$Z$34:$Z$39,1)+COUNTIF($Z$34:Z38,Z38)-1),"",RANK(Z38,$Z$34:$Z$39,1)+COUNTIF($Z$34:Z38,Z38)-1)</f>
        <v>2</v>
      </c>
      <c r="AA45" s="24"/>
      <c r="AB45" s="24"/>
      <c r="AC45" s="24"/>
      <c r="AD45" s="24"/>
      <c r="AE45" s="24"/>
      <c r="AF45" s="24"/>
      <c r="AG45" s="24"/>
    </row>
    <row r="46" spans="20:33" ht="12.75">
      <c r="T46" s="27">
        <v>103</v>
      </c>
      <c r="U46" s="27">
        <v>25</v>
      </c>
      <c r="V46" s="33"/>
      <c r="W46" s="24"/>
      <c r="X46" s="24"/>
      <c r="Y46" s="24" t="s">
        <v>63</v>
      </c>
      <c r="Z46" s="24">
        <f>IF(ISERROR(RANK(Z39,$Z$34:$Z$39,1)+COUNTIF($Z$34:Z39,Z39)-1),"",RANK(Z39,$Z$34:$Z$39,1)+COUNTIF($Z$34:Z39,Z39)-1)</f>
        <v>1</v>
      </c>
      <c r="AA46" s="24"/>
      <c r="AB46" s="24"/>
      <c r="AC46" s="24"/>
      <c r="AD46" s="24"/>
      <c r="AE46" s="24"/>
      <c r="AF46" s="24"/>
      <c r="AG46" s="24"/>
    </row>
    <row r="47" spans="20:33" ht="12.75">
      <c r="T47" s="27">
        <v>107</v>
      </c>
      <c r="U47" s="27">
        <v>20</v>
      </c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20:33" ht="12.75">
      <c r="T48" s="27">
        <v>111</v>
      </c>
      <c r="U48" s="27">
        <v>15</v>
      </c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0:33" ht="12.75">
      <c r="T49" s="27">
        <v>115</v>
      </c>
      <c r="U49" s="27">
        <v>10</v>
      </c>
      <c r="V49" s="24"/>
      <c r="W49" s="24"/>
      <c r="X49" s="24"/>
      <c r="Y49" s="24"/>
      <c r="Z49" s="24"/>
      <c r="AA49" s="24"/>
      <c r="AC49" s="24"/>
      <c r="AD49" s="24"/>
      <c r="AE49" s="24"/>
      <c r="AF49" s="24"/>
      <c r="AG49" s="24"/>
    </row>
    <row r="50" spans="20:33" ht="12.75">
      <c r="T50" s="27">
        <v>116</v>
      </c>
      <c r="U50" s="27">
        <v>5</v>
      </c>
      <c r="V50" s="24"/>
      <c r="W50" s="24"/>
      <c r="X50" s="24"/>
      <c r="Y50" s="24"/>
      <c r="Z50" s="24"/>
      <c r="AA50" s="24"/>
      <c r="AC50" s="24"/>
      <c r="AD50" s="24"/>
      <c r="AE50" s="24"/>
      <c r="AF50" s="24"/>
      <c r="AG50" s="24"/>
    </row>
    <row r="51" spans="20:33" ht="12.75">
      <c r="T51" s="27">
        <v>117</v>
      </c>
      <c r="U51" s="27">
        <v>0</v>
      </c>
      <c r="V51" s="24"/>
      <c r="W51" s="24"/>
      <c r="X51" s="24"/>
      <c r="Y51" s="24"/>
      <c r="Z51" s="24"/>
      <c r="AA51" s="24"/>
      <c r="AC51" s="24"/>
      <c r="AD51" s="24"/>
      <c r="AE51" s="24"/>
      <c r="AF51" s="24"/>
      <c r="AG51" s="24"/>
    </row>
    <row r="52" spans="19:33" ht="12.75">
      <c r="S52" t="s">
        <v>60</v>
      </c>
      <c r="T52" s="36">
        <v>75</v>
      </c>
      <c r="U52" s="36">
        <v>60</v>
      </c>
      <c r="V52" s="24">
        <f>IF(ISERROR(VLOOKUP($C$12,$T$52:$U$64,2)),"",VLOOKUP($C$12,$T$52:$U$64,2))</f>
        <v>0</v>
      </c>
      <c r="W52" s="24">
        <f>IF(V52&gt;=$C$11,1,0)</f>
        <v>0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20:33" ht="12.75">
      <c r="T53" s="36">
        <v>85</v>
      </c>
      <c r="U53" s="36">
        <v>55</v>
      </c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20:33" ht="12.75">
      <c r="T54" s="36">
        <v>93</v>
      </c>
      <c r="U54" s="36">
        <v>50</v>
      </c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20:33" ht="12.75">
      <c r="T55" s="36">
        <v>100</v>
      </c>
      <c r="U55" s="36">
        <v>45</v>
      </c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20:33" ht="12.75">
      <c r="T56" s="36">
        <v>104</v>
      </c>
      <c r="U56" s="36">
        <v>40</v>
      </c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20:33" ht="12.75">
      <c r="T57" s="36">
        <v>107</v>
      </c>
      <c r="U57" s="36">
        <v>35</v>
      </c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20:33" ht="12.75">
      <c r="T58" s="36">
        <v>110</v>
      </c>
      <c r="U58" s="36">
        <v>30</v>
      </c>
      <c r="V58" s="33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20:33" ht="12.75">
      <c r="T59" s="36">
        <v>113</v>
      </c>
      <c r="U59" s="36">
        <v>25</v>
      </c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20:33" ht="12.75">
      <c r="T60" s="36">
        <v>115</v>
      </c>
      <c r="U60" s="36">
        <v>20</v>
      </c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20:33" ht="12.75">
      <c r="T61" s="36">
        <v>117</v>
      </c>
      <c r="U61" s="36">
        <v>15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20:33" ht="12.75">
      <c r="T62" s="36">
        <v>119</v>
      </c>
      <c r="U62" s="36">
        <v>10</v>
      </c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20:33" ht="12.75">
      <c r="T63" s="36">
        <v>120</v>
      </c>
      <c r="U63" s="36">
        <v>5</v>
      </c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20:33" ht="12.75">
      <c r="T64" s="36">
        <v>121</v>
      </c>
      <c r="U64" s="36">
        <v>0</v>
      </c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9:33" ht="12.75">
      <c r="S65" t="s">
        <v>61</v>
      </c>
      <c r="T65" s="27">
        <v>65</v>
      </c>
      <c r="U65" s="27">
        <v>85</v>
      </c>
      <c r="V65" s="24">
        <f>IF(ISERROR(VLOOKUP($C$12,$T$65:$U$82,2)),"",VLOOKUP($C$12,$T$65:$U$82,2))</f>
        <v>0</v>
      </c>
      <c r="W65" s="24">
        <f>IF(V65&gt;=$C$11,1,0)</f>
        <v>0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20:33" ht="12.75">
      <c r="T66" s="27">
        <v>74</v>
      </c>
      <c r="U66" s="27">
        <v>80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20:33" ht="12.75">
      <c r="T67" s="27">
        <v>82</v>
      </c>
      <c r="U67" s="27">
        <v>75</v>
      </c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20:33" ht="12.75">
      <c r="T68" s="27">
        <v>90</v>
      </c>
      <c r="U68" s="27">
        <v>70</v>
      </c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20:33" ht="12.75">
      <c r="T69" s="27">
        <v>98</v>
      </c>
      <c r="U69" s="27">
        <v>65</v>
      </c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20:33" ht="12.75">
      <c r="T70" s="27">
        <v>105</v>
      </c>
      <c r="U70" s="27">
        <v>60</v>
      </c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20:33" ht="12.75">
      <c r="T71" s="27">
        <v>110</v>
      </c>
      <c r="U71" s="27">
        <v>55</v>
      </c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20:33" ht="12.75">
      <c r="T72" s="27">
        <v>115</v>
      </c>
      <c r="U72" s="27">
        <v>50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20:33" ht="12.75">
      <c r="T73" s="27">
        <v>119</v>
      </c>
      <c r="U73" s="27">
        <v>45</v>
      </c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20:33" ht="12.75">
      <c r="T74" s="27">
        <v>121</v>
      </c>
      <c r="U74" s="27">
        <v>40</v>
      </c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20:33" ht="12.75">
      <c r="T75" s="27">
        <v>123</v>
      </c>
      <c r="U75" s="27">
        <v>35</v>
      </c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20:33" ht="12.75">
      <c r="T76" s="27">
        <v>124</v>
      </c>
      <c r="U76" s="27">
        <v>30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20:33" ht="12.75">
      <c r="T77" s="27">
        <v>125</v>
      </c>
      <c r="U77" s="27">
        <v>15</v>
      </c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20:33" ht="12.75">
      <c r="T78" s="27">
        <v>125</v>
      </c>
      <c r="U78" s="27">
        <v>20</v>
      </c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20:33" ht="12.75">
      <c r="T79" s="27">
        <v>125</v>
      </c>
      <c r="U79" s="27">
        <v>25</v>
      </c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20:33" ht="12.75">
      <c r="T80" s="27">
        <v>125.5</v>
      </c>
      <c r="U80" s="27">
        <v>10</v>
      </c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20:33" ht="12.75">
      <c r="T81" s="27">
        <v>125.7</v>
      </c>
      <c r="U81" s="27">
        <v>5</v>
      </c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20:33" ht="12.75">
      <c r="T82" s="27">
        <v>126</v>
      </c>
      <c r="U82" s="27">
        <v>0</v>
      </c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9:33" ht="12.75">
      <c r="S83" t="s">
        <v>64</v>
      </c>
      <c r="T83" s="36">
        <v>97</v>
      </c>
      <c r="U83" s="36">
        <v>80</v>
      </c>
      <c r="V83" s="24">
        <f>IF(ISERROR(VLOOKUP($C$12,$T$83:$U$99,2)),"",VLOOKUP($C$12,$T$83:$U$99,2))</f>
        <v>45</v>
      </c>
      <c r="W83" s="24">
        <f>IF(V83&gt;=$C$11,1,0)</f>
        <v>1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20:33" ht="12.75">
      <c r="T84" s="36">
        <v>107</v>
      </c>
      <c r="U84" s="36">
        <v>75</v>
      </c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20:33" ht="12.75">
      <c r="T85" s="36">
        <v>115</v>
      </c>
      <c r="U85" s="36">
        <v>70</v>
      </c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20:33" ht="12.75">
      <c r="T86" s="36">
        <v>125</v>
      </c>
      <c r="U86" s="36">
        <v>65</v>
      </c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20:33" ht="12.75">
      <c r="T87" s="36">
        <v>135</v>
      </c>
      <c r="U87" s="36">
        <v>60</v>
      </c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20:33" ht="12.75">
      <c r="T88" s="36">
        <v>143</v>
      </c>
      <c r="U88" s="36">
        <v>55</v>
      </c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20:33" ht="12.75">
      <c r="T89" s="36">
        <v>150</v>
      </c>
      <c r="U89" s="36">
        <v>50</v>
      </c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20:33" ht="12.75">
      <c r="T90" s="36">
        <v>155</v>
      </c>
      <c r="U90" s="36">
        <v>45</v>
      </c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20:33" ht="12.75">
      <c r="T91" s="36">
        <v>160</v>
      </c>
      <c r="U91" s="36">
        <v>40</v>
      </c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20:33" ht="12.75">
      <c r="T92" s="36">
        <v>161</v>
      </c>
      <c r="U92" s="36">
        <v>35</v>
      </c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20:33" ht="12.75">
      <c r="T93" s="36">
        <v>163</v>
      </c>
      <c r="U93" s="36">
        <v>30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20:33" ht="12.75">
      <c r="T94" s="36">
        <v>168</v>
      </c>
      <c r="U94" s="36">
        <v>25</v>
      </c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20:33" ht="12.75">
      <c r="T95" s="36">
        <v>170</v>
      </c>
      <c r="U95" s="36">
        <v>20</v>
      </c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20:33" ht="12.75">
      <c r="T96" s="36">
        <v>172</v>
      </c>
      <c r="U96" s="36">
        <v>15</v>
      </c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20:33" ht="12.75">
      <c r="T97" s="36">
        <v>175</v>
      </c>
      <c r="U97" s="36">
        <v>10</v>
      </c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20:33" ht="12.75">
      <c r="T98" s="36">
        <v>180</v>
      </c>
      <c r="U98" s="36">
        <v>5</v>
      </c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20:33" ht="12.75">
      <c r="T99" s="36">
        <v>185</v>
      </c>
      <c r="U99" s="36">
        <v>0</v>
      </c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9:33" ht="12.75">
      <c r="S100" t="s">
        <v>68</v>
      </c>
      <c r="T100" s="27">
        <v>50</v>
      </c>
      <c r="U100" s="27">
        <v>60</v>
      </c>
      <c r="V100" s="24">
        <f>IF(ISERROR(VLOOKUP($C$12,$T$100:$U$112,2)),"",VLOOKUP($C$12,$T$100:$U$112,2))</f>
        <v>40</v>
      </c>
      <c r="W100" s="24">
        <f>IF(V100&gt;=$C$11,1,0)</f>
        <v>1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20:33" ht="12.75">
      <c r="T101" s="27">
        <v>75</v>
      </c>
      <c r="U101" s="27">
        <v>55</v>
      </c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20:33" ht="12.75">
      <c r="T102" s="27">
        <v>100</v>
      </c>
      <c r="U102" s="27">
        <v>50</v>
      </c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20:33" ht="12.75">
      <c r="T103" s="27">
        <v>125</v>
      </c>
      <c r="U103" s="27">
        <v>45</v>
      </c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20:33" ht="12.75">
      <c r="T104" s="27">
        <v>155</v>
      </c>
      <c r="U104" s="27">
        <v>40</v>
      </c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20:33" ht="12.75">
      <c r="T105" s="27">
        <v>175</v>
      </c>
      <c r="U105" s="27">
        <v>35</v>
      </c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20:33" ht="12.75">
      <c r="T106" s="27">
        <v>200</v>
      </c>
      <c r="U106" s="27">
        <v>30</v>
      </c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20:33" ht="12.75">
      <c r="T107" s="27">
        <v>210</v>
      </c>
      <c r="U107" s="27">
        <v>25</v>
      </c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20:33" ht="12.75">
      <c r="T108" s="27">
        <v>220</v>
      </c>
      <c r="U108" s="27">
        <v>20</v>
      </c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20:33" ht="12.75">
      <c r="T109" s="27">
        <v>230</v>
      </c>
      <c r="U109" s="27">
        <v>15</v>
      </c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20:33" ht="12.75">
      <c r="T110" s="27">
        <v>240</v>
      </c>
      <c r="U110" s="27">
        <v>10</v>
      </c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20:33" ht="12.75">
      <c r="T111" s="27">
        <v>245</v>
      </c>
      <c r="U111" s="27">
        <v>5</v>
      </c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20:33" ht="12.75">
      <c r="T112" s="27">
        <v>250</v>
      </c>
      <c r="U112" s="27">
        <v>0</v>
      </c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9:33" ht="12.75">
      <c r="S113" t="s">
        <v>63</v>
      </c>
      <c r="T113" s="36">
        <v>50</v>
      </c>
      <c r="U113" s="36">
        <v>60</v>
      </c>
      <c r="V113" s="24">
        <f>IF(ISERROR(VLOOKUP($C$12,$T$113:$U$125,2)),"",VLOOKUP($C$12,$T$113:$U$125,2))</f>
        <v>15</v>
      </c>
      <c r="W113" s="24">
        <f>IF(V113&gt;=$C$11,1,0)</f>
        <v>1</v>
      </c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20:33" ht="12.75">
      <c r="T114" s="36">
        <v>70</v>
      </c>
      <c r="U114" s="36">
        <v>55</v>
      </c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20:33" ht="12.75">
      <c r="T115" s="36">
        <v>85</v>
      </c>
      <c r="U115" s="36">
        <v>50</v>
      </c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20:33" ht="12.75">
      <c r="T116" s="36">
        <v>100</v>
      </c>
      <c r="U116" s="36">
        <v>45</v>
      </c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20:33" ht="12.75">
      <c r="T117" s="36">
        <v>110</v>
      </c>
      <c r="U117" s="36">
        <v>40</v>
      </c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20:33" ht="12.75">
      <c r="T118" s="36">
        <v>122</v>
      </c>
      <c r="U118" s="36">
        <v>35</v>
      </c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20:33" ht="12.75">
      <c r="T119" s="36">
        <v>133</v>
      </c>
      <c r="U119" s="36">
        <v>30</v>
      </c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20:33" ht="12.75">
      <c r="T120" s="36">
        <v>142</v>
      </c>
      <c r="U120" s="36">
        <v>25</v>
      </c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20:33" ht="12.75">
      <c r="T121" s="36">
        <v>150</v>
      </c>
      <c r="U121" s="36">
        <v>20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20:33" ht="12.75">
      <c r="T122" s="36">
        <v>155</v>
      </c>
      <c r="U122" s="36">
        <v>15</v>
      </c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20:33" ht="12.75">
      <c r="T123" s="36">
        <v>160</v>
      </c>
      <c r="U123" s="36">
        <v>10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20:33" ht="12.75">
      <c r="T124" s="36">
        <v>165</v>
      </c>
      <c r="U124" s="36">
        <v>5</v>
      </c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20:33" ht="12.75">
      <c r="T125" s="36">
        <v>167</v>
      </c>
      <c r="U125" s="36">
        <v>0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20:33" ht="12.75"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20:33" ht="12.75"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20:33" ht="12.75"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20:33" ht="12.75"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20:33" ht="12.75"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20:33" ht="12.75"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20:33" ht="12.75"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20:33" ht="12.75"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20:33" ht="12.75"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20:33" ht="12.75"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20:33" ht="12.75"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20:33" ht="12.75"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20:33" ht="12.75"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20:33" ht="12.75"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20:33" ht="12.75"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20:33" ht="12.75"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20:33" ht="12.75"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20:33" ht="12.75"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20:33" ht="12.75"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20:33" ht="12.75"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20:33" ht="12.75"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20:33" ht="12.75"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20:33" ht="12.75"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20:33" ht="12.75"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20:33" ht="12.75"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20:33" ht="12.75"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20:33" ht="12.75"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20:33" ht="12.75"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20:33" ht="12.75"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20:33" ht="12.75"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20:33" ht="12.75"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20:33" ht="12.75"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20:33" ht="12.75"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20:33" ht="12.75"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20:33" ht="12.75"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20:33" ht="12.75"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20:33" ht="12.75"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20:33" ht="12.75"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20:33" ht="12.75"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20:33" ht="12.75"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20:33" ht="12.75"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20:33" ht="12.75"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20:33" ht="12.75"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20:33" ht="12.75"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20:33" ht="12.75"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20:33" ht="12.75"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20:33" ht="12.75"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20:33" ht="12.75"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20:33" ht="12.75"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20:33" ht="12.75"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20:33" ht="12.75"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20:33" ht="12.75"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20:33" ht="12.75"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20:33" ht="12.75"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20:33" ht="12.75"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20:33" ht="12.75"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20:33" ht="12.75"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20:33" ht="12.75"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20:33" ht="12.75"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20:33" ht="12.75"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20:33" ht="12.75"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20:33" ht="12.75"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20:33" ht="12.75"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20:33" ht="12.75"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20:33" ht="12.75"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20:33" ht="12.75"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20:33" ht="12.75"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20:33" ht="12.75"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20:33" ht="12.75"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20:33" ht="12.75"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20:33" ht="12.75"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20:33" ht="12.75"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20:33" ht="12.75"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20:33" ht="12.75"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20:33" ht="12.75"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20:33" ht="12.75"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20:33" ht="12.75"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20:33" ht="12.75"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20:33" ht="12.75"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20:33" ht="12.75"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20:33" ht="12.75"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20:33" ht="12.75"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20:33" ht="12.75"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20:33" ht="12.75"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20:33" ht="12.75"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20:33" ht="12.75"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20:33" ht="12.75"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20:33" ht="12.75"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20:33" ht="12.75"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20:33" ht="12.75"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20:33" ht="12.75"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20:33" ht="12.75"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20:33" ht="12.75"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20:33" ht="12.75"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20:33" ht="12.75"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20:33" ht="12.75"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20:33" ht="12.75"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20:33" ht="12.75"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20:33" ht="12.75"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20:33" ht="12.75"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20:33" ht="12.75"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20:33" ht="12.75"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20:33" ht="12.75"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20:33" ht="12.75"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20:33" ht="12.75"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20:33" ht="12.75"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20:33" ht="12.75"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20:33" ht="12.75"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20:33" ht="12.75"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20:33" ht="12.75"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20:33" ht="12.75"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20:33" ht="12.75"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20:33" ht="12.75"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20:33" ht="12.75"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20:33" ht="12.75"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20:33" ht="12.75"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20:33" ht="12.75"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20:33" ht="12.75"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20:33" ht="12.75"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20:33" ht="12.75"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20:33" ht="12.75"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20:33" ht="12.75"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20:33" ht="12.75"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20:33" ht="12.75"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20:33" ht="12.75"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20:33" ht="12.75"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20:33" ht="12.75"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20:33" ht="12.75"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20:33" ht="12.75"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20:33" ht="12.75"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20:33" ht="12.75"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20:33" ht="12.75"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20:33" ht="12.75"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20:33" ht="12.75"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20:33" ht="12.75"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</sheetData>
  <sheetProtection sheet="1" objects="1" scenarios="1"/>
  <mergeCells count="10">
    <mergeCell ref="B2:J2"/>
    <mergeCell ref="G7:J7"/>
    <mergeCell ref="G9:I9"/>
    <mergeCell ref="R3:AG3"/>
    <mergeCell ref="R5:AG5"/>
    <mergeCell ref="AC15:AE15"/>
    <mergeCell ref="Z15:AB15"/>
    <mergeCell ref="W15:Y15"/>
    <mergeCell ref="G11:I11"/>
    <mergeCell ref="U15:V15"/>
  </mergeCells>
  <conditionalFormatting sqref="G7:J7">
    <cfRule type="cellIs" priority="1" dxfId="0" operator="equal" stopIfTrue="1">
      <formula>"choose different pipe size or type"</formula>
    </cfRule>
  </conditionalFormatting>
  <conditionalFormatting sqref="G11:I11">
    <cfRule type="cellIs" priority="2" dxfId="0" operator="equal" stopIfTrue="1">
      <formula>"Velocity too high for pipe size"</formula>
    </cfRule>
  </conditionalFormatting>
  <conditionalFormatting sqref="G9:I9">
    <cfRule type="cellIs" priority="3" dxfId="0" operator="equal" stopIfTrue="1">
      <formula>"Flow Too High for Valve Size"</formula>
    </cfRule>
    <cfRule type="cellIs" priority="4" dxfId="0" operator="equal" stopIfTrue="1">
      <formula>"flow too low for valve size"</formula>
    </cfRule>
    <cfRule type="cellIs" priority="5" dxfId="0" operator="equal" stopIfTrue="1">
      <formula>"flow outside valve parameters"</formula>
    </cfRule>
  </conditionalFormatting>
  <conditionalFormatting sqref="C19">
    <cfRule type="cellIs" priority="6" dxfId="1" operator="equal" stopIfTrue="1">
      <formula>0</formula>
    </cfRule>
  </conditionalFormatting>
  <conditionalFormatting sqref="C25">
    <cfRule type="cellIs" priority="7" dxfId="2" operator="equal" stopIfTrue="1">
      <formula>0</formula>
    </cfRule>
  </conditionalFormatting>
  <dataValidations count="5">
    <dataValidation errorStyle="information" type="list" allowBlank="1" showInputMessage="1" showErrorMessage="1" errorTitle="Not in List" error="Please Select a Pipe Size in the List" sqref="C7">
      <formula1>$O$5:$O$10</formula1>
    </dataValidation>
    <dataValidation errorStyle="information" type="list" allowBlank="1" showInputMessage="1" showErrorMessage="1" errorTitle="Not in List" error="Please Select a Valve Type in List" sqref="D9">
      <formula1>$O$16:$O$24</formula1>
    </dataValidation>
    <dataValidation errorStyle="information" type="list" allowBlank="1" showInputMessage="1" showErrorMessage="1" errorTitle="Not in List" error="Please Select a Pipe Size in List" sqref="C6">
      <formula1>$Q$4:$AG$4</formula1>
    </dataValidation>
    <dataValidation errorStyle="information" type="list" allowBlank="1" showInputMessage="1" showErrorMessage="1" errorTitle="Not in List" error="Please Select a Valve Type in List" sqref="C9">
      <formula1>$O$16:$O$27</formula1>
    </dataValidation>
    <dataValidation errorStyle="information" allowBlank="1" showInputMessage="1" showErrorMessage="1" errorTitle="Not in List" error="Please Select a Pipe Size in the List" sqref="D7"/>
  </dataValidations>
  <hyperlinks>
    <hyperlink ref="X34" r:id="rId1" display="file:///\\wplaw.wplawinc.com\share\departments\website\flash drive info\reference charts\pump info\gould's gt curve.pdf"/>
    <hyperlink ref="X35:X36" r:id="rId2" display="file:///\\wplaw.wplawinc.com\share\departments\website\flash drive info\reference charts\pump info\gould's gt curve.pdf"/>
    <hyperlink ref="X37" r:id="rId3" display="file:///\\wplaw.wplawinc.com\share\departments\website\flash drive info\reference charts\pump info\MONROE PUMP CURVE.pdf"/>
    <hyperlink ref="X38" r:id="rId4" display="file:///\\wplaw.wplawinc.com\share\departments\website\flash drive info\reference charts\pump info\BESSHM2 CURVE.pdf"/>
    <hyperlink ref="X39" r:id="rId5" display="file:///\\wplaw.wplawinc.com\share\departments\website\flash drive info\reference charts\pump info\SRHMSF CURVE.pdf"/>
  </hyperlinks>
  <printOptions/>
  <pageMargins left="0.75" right="0.75" top="1" bottom="1" header="0.5" footer="0.5"/>
  <pageSetup horizontalDpi="600" verticalDpi="600" orientation="portrait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W. P. Law,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Huntley</dc:creator>
  <cp:keywords/>
  <dc:description/>
  <cp:lastModifiedBy>Cameron Huntley</cp:lastModifiedBy>
  <dcterms:created xsi:type="dcterms:W3CDTF">2010-06-11T18:51:12Z</dcterms:created>
  <dcterms:modified xsi:type="dcterms:W3CDTF">2010-11-19T17:04:30Z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