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20700" windowHeight="10425" activeTab="0"/>
  </bookViews>
  <sheets>
    <sheet name="Meter Calculation" sheetId="1" r:id="rId1"/>
  </sheets>
  <definedNames/>
  <calcPr fullCalcOnLoad="1"/>
</workbook>
</file>

<file path=xl/sharedStrings.xml><?xml version="1.0" encoding="utf-8"?>
<sst xmlns="http://schemas.openxmlformats.org/spreadsheetml/2006/main" count="148" uniqueCount="83">
  <si>
    <t>Lists:</t>
  </si>
  <si>
    <t>size</t>
  </si>
  <si>
    <t>Select Mainline Size</t>
  </si>
  <si>
    <t>0.5"</t>
  </si>
  <si>
    <t>0.75"</t>
  </si>
  <si>
    <t>1"</t>
  </si>
  <si>
    <t>1.25"</t>
  </si>
  <si>
    <t>1.5"</t>
  </si>
  <si>
    <t>2"</t>
  </si>
  <si>
    <t>2.5"</t>
  </si>
  <si>
    <t>3"</t>
  </si>
  <si>
    <t>4"</t>
  </si>
  <si>
    <t>5"</t>
  </si>
  <si>
    <t>6"</t>
  </si>
  <si>
    <t>8"</t>
  </si>
  <si>
    <t>10"</t>
  </si>
  <si>
    <t>12"</t>
  </si>
  <si>
    <t>14"</t>
  </si>
  <si>
    <t>16"</t>
  </si>
  <si>
    <t>Select Type of Pipe</t>
  </si>
  <si>
    <t>C value</t>
  </si>
  <si>
    <t>ID</t>
  </si>
  <si>
    <t>Class 160</t>
  </si>
  <si>
    <t>Class 200</t>
  </si>
  <si>
    <t>Sch 40</t>
  </si>
  <si>
    <t>1" Rainbird DV</t>
  </si>
  <si>
    <t xml:space="preserve">Sch 80 </t>
  </si>
  <si>
    <t>Velocity in Pipe</t>
  </si>
  <si>
    <t>Type K Copper</t>
  </si>
  <si>
    <t>PSI Loss in Run of Pipe</t>
  </si>
  <si>
    <t>ID of selection</t>
  </si>
  <si>
    <t>psi loss in run of pipe</t>
  </si>
  <si>
    <t>velocity in pipe</t>
  </si>
  <si>
    <t>GPM</t>
  </si>
  <si>
    <t>DV valve</t>
  </si>
  <si>
    <t>PGA valve (globe)</t>
  </si>
  <si>
    <t>PGA valve (angle)</t>
  </si>
  <si>
    <t>PEB valve</t>
  </si>
  <si>
    <t>Select Valve Type</t>
  </si>
  <si>
    <t>max flow</t>
  </si>
  <si>
    <t>min flow</t>
  </si>
  <si>
    <t>psi loss</t>
  </si>
  <si>
    <t>3/4"</t>
  </si>
  <si>
    <t xml:space="preserve"> 3/4" Rainbird DV</t>
  </si>
  <si>
    <t>1" Rainbird PEB</t>
  </si>
  <si>
    <t>1" Rainbird PGA "angle"</t>
  </si>
  <si>
    <t>1" Rainbird PGA "globe"</t>
  </si>
  <si>
    <t>1.5" Rainbird PEB</t>
  </si>
  <si>
    <t>1.5" Rainbird PGA "angle"</t>
  </si>
  <si>
    <t>1.5" Rainbird PGA "globe"</t>
  </si>
  <si>
    <t>2" Rainbird PEB</t>
  </si>
  <si>
    <t>2" Rainbird PGA "angle"</t>
  </si>
  <si>
    <t>2" Rainbird PGA "globe"</t>
  </si>
  <si>
    <t>City Water Meter Calculations</t>
  </si>
  <si>
    <t>water meter size</t>
  </si>
  <si>
    <t>5/8"</t>
  </si>
  <si>
    <t>1 1/2"</t>
  </si>
  <si>
    <t>max safe flow</t>
  </si>
  <si>
    <t>flow/gpm</t>
  </si>
  <si>
    <t>Residual Pressure at End of Line, PSI</t>
  </si>
  <si>
    <t>backflow size</t>
  </si>
  <si>
    <t>1 1/4"</t>
  </si>
  <si>
    <t>PSI Loss in Backflow</t>
  </si>
  <si>
    <t>Pressure Losses</t>
  </si>
  <si>
    <t>DCA</t>
  </si>
  <si>
    <t>PVB</t>
  </si>
  <si>
    <t xml:space="preserve">2" </t>
  </si>
  <si>
    <t>Double Check Backflow Preventer</t>
  </si>
  <si>
    <t>Reduced Pressure Backflow Preventer</t>
  </si>
  <si>
    <t>Pressure Vacuum Breaker</t>
  </si>
  <si>
    <t xml:space="preserve">RPV </t>
  </si>
  <si>
    <t>Water Meter Size</t>
  </si>
  <si>
    <t>Static Water Pressure</t>
  </si>
  <si>
    <t>Elevation, ft (from site of pressure reading to highest, farthest sprinkler)</t>
  </si>
  <si>
    <t>Main Line Size, in</t>
  </si>
  <si>
    <t>Type of Pipe Used</t>
  </si>
  <si>
    <t>Main Line Length, ft</t>
  </si>
  <si>
    <t>Type of Valve</t>
  </si>
  <si>
    <t>Desired Flow, GPM</t>
  </si>
  <si>
    <t>Type of Backflow</t>
  </si>
  <si>
    <t>Size of Backflow</t>
  </si>
  <si>
    <t>* This is meant to be a guide. Your situation may require additional consideration.</t>
  </si>
  <si>
    <t>Ask a W.P. Law Inc. professional about your specific requirements.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</si>
</sst>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8"/>
      <name val="Calibri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7" fontId="5" fillId="3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2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9CC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plawinc.com/" TargetMode="External" /><Relationship Id="rId3" Type="http://schemas.openxmlformats.org/officeDocument/2006/relationships/hyperlink" Target="http://www.wplawinc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17</xdr:row>
      <xdr:rowOff>104775</xdr:rowOff>
    </xdr:from>
    <xdr:to>
      <xdr:col>2</xdr:col>
      <xdr:colOff>1009650</xdr:colOff>
      <xdr:row>27</xdr:row>
      <xdr:rowOff>9525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390900"/>
          <a:ext cx="17907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61"/>
  <sheetViews>
    <sheetView tabSelected="1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2" max="2" width="15.00390625" style="0" bestFit="1" customWidth="1"/>
    <col min="3" max="3" width="35.28125" style="0" bestFit="1" customWidth="1"/>
    <col min="4" max="4" width="2.7109375" style="22" customWidth="1"/>
    <col min="6" max="6" width="9.421875" style="0" customWidth="1"/>
    <col min="7" max="7" width="9.8515625" style="0" customWidth="1"/>
    <col min="8" max="8" width="12.7109375" style="0" customWidth="1"/>
    <col min="9" max="9" width="13.57421875" style="0" customWidth="1"/>
    <col min="10" max="10" width="20.8515625" style="0" bestFit="1" customWidth="1"/>
    <col min="14" max="14" width="10.28125" style="0" hidden="1" customWidth="1"/>
    <col min="15" max="15" width="22.28125" style="0" hidden="1" customWidth="1"/>
    <col min="16" max="16" width="9.140625" style="0" hidden="1" customWidth="1"/>
    <col min="17" max="17" width="12.28125" style="0" hidden="1" customWidth="1"/>
    <col min="18" max="18" width="9.140625" style="0" hidden="1" customWidth="1"/>
    <col min="19" max="19" width="12.421875" style="0" hidden="1" customWidth="1"/>
    <col min="20" max="24" width="9.140625" style="0" hidden="1" customWidth="1"/>
    <col min="25" max="25" width="12.57421875" style="0" hidden="1" customWidth="1"/>
    <col min="26" max="47" width="9.140625" style="0" hidden="1" customWidth="1"/>
  </cols>
  <sheetData>
    <row r="2" spans="2:10" ht="23.25">
      <c r="B2" s="45" t="s">
        <v>53</v>
      </c>
      <c r="C2" s="46"/>
      <c r="D2" s="46"/>
      <c r="E2" s="46"/>
      <c r="F2" s="46"/>
      <c r="G2" s="46"/>
      <c r="H2" s="46"/>
      <c r="I2" s="46"/>
      <c r="J2" s="47"/>
    </row>
    <row r="3" spans="2:33" ht="12.75">
      <c r="B3" s="1"/>
      <c r="C3" s="2"/>
      <c r="D3" s="3"/>
      <c r="E3" s="2"/>
      <c r="F3" s="2"/>
      <c r="G3" s="2"/>
      <c r="H3" s="2"/>
      <c r="I3" s="2"/>
      <c r="J3" s="4"/>
      <c r="O3" t="s">
        <v>0</v>
      </c>
      <c r="R3" s="42" t="s">
        <v>1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2:33" ht="15">
      <c r="B4" s="39" t="s">
        <v>63</v>
      </c>
      <c r="C4" s="6"/>
      <c r="D4" s="7"/>
      <c r="E4" s="6"/>
      <c r="F4" s="6"/>
      <c r="G4" s="6"/>
      <c r="H4" s="6"/>
      <c r="I4" s="6"/>
      <c r="J4" s="8"/>
      <c r="Q4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12</v>
      </c>
      <c r="AB4" s="5" t="s">
        <v>13</v>
      </c>
      <c r="AC4" s="5" t="s">
        <v>14</v>
      </c>
      <c r="AD4" s="5" t="s">
        <v>15</v>
      </c>
      <c r="AE4" s="5" t="s">
        <v>16</v>
      </c>
      <c r="AF4" s="5" t="s">
        <v>17</v>
      </c>
      <c r="AG4" s="5" t="s">
        <v>18</v>
      </c>
    </row>
    <row r="5" spans="2:33" ht="15">
      <c r="B5" s="40" t="str">
        <f>CONCATENATE("-"," ",LOOKUP(C5,O35:O41,R35:R41))</f>
        <v>- 8.3</v>
      </c>
      <c r="C5" s="9" t="s">
        <v>55</v>
      </c>
      <c r="E5" s="31" t="s">
        <v>71</v>
      </c>
      <c r="G5" s="48">
        <f>IF(C12&gt;LOOKUP(C5,O35:O41,Q35:Q41),"Flow Too High for Meter Size",IF(C6*0.1&lt;LOOKUP(C5,O35:O41,R35:R41),"Excessive Pressure Loss Through Meter",""))</f>
      </c>
      <c r="H5" s="48"/>
      <c r="I5" s="48"/>
      <c r="J5" s="8"/>
      <c r="O5" s="5" t="s">
        <v>19</v>
      </c>
      <c r="P5" s="5" t="s">
        <v>20</v>
      </c>
      <c r="Q5" s="5"/>
      <c r="R5" s="42" t="s">
        <v>21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2:47" ht="15">
      <c r="B6" s="40"/>
      <c r="C6" s="9">
        <v>85</v>
      </c>
      <c r="E6" s="31" t="s">
        <v>72</v>
      </c>
      <c r="F6" s="6"/>
      <c r="G6" s="6"/>
      <c r="H6" s="6"/>
      <c r="I6" s="6"/>
      <c r="J6" s="8"/>
      <c r="O6" t="s">
        <v>22</v>
      </c>
      <c r="P6">
        <v>150</v>
      </c>
      <c r="Q6">
        <f>SUM(R6:AG6)</f>
        <v>0</v>
      </c>
      <c r="R6" s="11">
        <f>IF($C$8&lt;&gt;R4,"",0.716)</f>
      </c>
      <c r="S6" s="11">
        <f>IF($C$8&lt;&gt;S4,"",0.93)</f>
      </c>
      <c r="T6" s="11">
        <f>IF($C$8&lt;&gt;$T$4,"","")</f>
      </c>
      <c r="U6" s="11">
        <f>IF($C$8&lt;&gt;$U$4,"",1.532)</f>
      </c>
      <c r="V6" s="11">
        <f>IF($C$8&lt;&gt;$V$4,"",1.754)</f>
      </c>
      <c r="W6" s="11">
        <f>IF($C$8&lt;&gt;$W$4,"",2.193)</f>
      </c>
      <c r="X6" s="11">
        <f>IF($C$8&lt;&gt;$X$4,"",2.655)</f>
      </c>
      <c r="Y6" s="11">
        <f>IF($C$8&lt;&gt;$Y$4,"",3.23)</f>
      </c>
      <c r="Z6" s="11">
        <f>IF($C$8&lt;&gt;$Z$4,"",4.154)</f>
      </c>
      <c r="AA6" s="11">
        <f>IF($C$8&lt;&gt;$AA$4,"",5.135)</f>
      </c>
      <c r="AB6" s="11">
        <f>IF($C$8&lt;&gt;$AB$4,"",6.115)</f>
      </c>
      <c r="AC6" s="11">
        <f>IF($C$8&lt;&gt;$AC$4,"",7.961)</f>
      </c>
      <c r="AD6" s="11">
        <f>IF($C$8&lt;&gt;$AD$4,"",9.924)</f>
      </c>
      <c r="AE6" s="11">
        <f>IF($C$8&lt;&gt;$AE$4,"",11.77)</f>
      </c>
      <c r="AF6" s="11">
        <f>IF($C$8&lt;&gt;$AF$4,"",12.924)</f>
      </c>
      <c r="AG6" s="11">
        <f>IF($C$8&lt;&gt;$AG$4,"",17.77)</f>
      </c>
      <c r="AH6" s="12"/>
      <c r="AI6" s="12"/>
      <c r="AK6" s="12"/>
      <c r="AM6" s="12"/>
      <c r="AO6" s="12"/>
      <c r="AQ6" s="12"/>
      <c r="AS6" s="12"/>
      <c r="AU6" s="12"/>
    </row>
    <row r="7" spans="2:37" ht="15">
      <c r="B7" s="40" t="str">
        <f>"-"&amp;" "&amp;ROUND(C7/2.31,2)</f>
        <v>- 2.16</v>
      </c>
      <c r="C7" s="9">
        <v>5</v>
      </c>
      <c r="D7" s="10"/>
      <c r="E7" s="6" t="s">
        <v>73</v>
      </c>
      <c r="F7" s="6"/>
      <c r="J7" s="35"/>
      <c r="O7" t="s">
        <v>23</v>
      </c>
      <c r="P7">
        <v>150</v>
      </c>
      <c r="Q7">
        <f>SUM(R7:AG7)</f>
        <v>1.189</v>
      </c>
      <c r="R7" s="11">
        <f>IF($C$8&lt;&gt;R4,"","")</f>
      </c>
      <c r="S7" s="11">
        <f>IF($C$8&lt;&gt;S4,"",0.93)</f>
      </c>
      <c r="T7" s="11">
        <f>IF($C$8&lt;&gt;T4,"",1.189)</f>
        <v>1.189</v>
      </c>
      <c r="U7" s="11">
        <f>IF($C$8&lt;&gt;$U$4,"",1.502)</f>
      </c>
      <c r="V7" s="11">
        <f>IF($C$8&lt;&gt;$V$4,"",1.72)</f>
      </c>
      <c r="W7" s="11">
        <f>IF($C$8&lt;&gt;$W$4,"",2.149)</f>
      </c>
      <c r="X7" s="11">
        <f>IF($C$8&lt;&gt;$X$4,"",2.601)</f>
      </c>
      <c r="Y7" s="11">
        <f>IF($C$8&lt;&gt;$Y$4,"",3.166)</f>
      </c>
      <c r="Z7" s="11">
        <f>IF($C$8&lt;&gt;$Z$4,"",4.072)</f>
      </c>
      <c r="AA7" s="11">
        <f>IF($C$8&lt;&gt;$AA$4,"","")</f>
      </c>
      <c r="AB7" s="11">
        <f>IF($C$8&lt;&gt;$AB$4,"",5.993)</f>
      </c>
      <c r="AC7" s="11">
        <f>IF($C$8&lt;&gt;$AC$4,"",7.805)</f>
      </c>
      <c r="AD7" s="11">
        <f>IF($C$8&lt;&gt;$AD$4,"","")</f>
      </c>
      <c r="AE7" s="11">
        <f>IF($C$8&lt;&gt;$AE$4,"","")</f>
      </c>
      <c r="AF7" s="11">
        <f>IF($C$8&lt;&gt;$AF$4,"","")</f>
      </c>
      <c r="AG7" s="11">
        <f>IF($C$8&lt;&gt;$AG$4,"","")</f>
      </c>
      <c r="AI7" s="12"/>
      <c r="AK7" s="12"/>
    </row>
    <row r="8" spans="2:39" ht="15">
      <c r="B8" s="40"/>
      <c r="C8" s="9" t="s">
        <v>5</v>
      </c>
      <c r="D8" s="10"/>
      <c r="E8" s="6" t="s">
        <v>74</v>
      </c>
      <c r="G8" s="6"/>
      <c r="H8" s="6"/>
      <c r="I8" s="6"/>
      <c r="J8" s="38" t="s">
        <v>27</v>
      </c>
      <c r="O8" t="s">
        <v>24</v>
      </c>
      <c r="P8">
        <v>150</v>
      </c>
      <c r="Q8">
        <f>SUM(R8:AG8)</f>
        <v>1.049</v>
      </c>
      <c r="R8" s="11">
        <f>IF($C$8&lt;&gt;R4,"",0.622)</f>
      </c>
      <c r="S8" s="11">
        <f>IF($C$8&lt;&gt;S4,"",0.824)</f>
      </c>
      <c r="T8" s="11">
        <f>IF($C$8&lt;&gt;T4,"",1.049)</f>
        <v>1.049</v>
      </c>
      <c r="U8" s="11">
        <f>IF($C$8&lt;&gt;$U$4,"",1.38)</f>
      </c>
      <c r="V8" s="11">
        <f>IF($C$8&lt;&gt;$V$4,"",1.61)</f>
      </c>
      <c r="W8" s="11">
        <f>IF($C$8&lt;&gt;$W$4,"",2.067)</f>
      </c>
      <c r="X8" s="11">
        <f>IF($C$8&lt;&gt;$X$4,"",2.469)</f>
      </c>
      <c r="Y8" s="11">
        <f>IF($C$8&lt;&gt;$Y$4,"",3.068)</f>
      </c>
      <c r="Z8" s="11">
        <f>IF($C$8&lt;&gt;$Z$4,"",4.026)</f>
      </c>
      <c r="AA8" s="11">
        <f>IF($C$8&lt;&gt;$AA$4,"",5.047)</f>
      </c>
      <c r="AB8" s="11">
        <f>IF($C$8&lt;&gt;$AB$4,"",6.065)</f>
      </c>
      <c r="AC8" s="11">
        <f>IF($C$8&lt;&gt;$AC$4,"",7.981)</f>
      </c>
      <c r="AD8" s="11">
        <f>IF($C$8&lt;&gt;$AD$4,"",10.02)</f>
      </c>
      <c r="AE8" s="11">
        <f>IF($C$8&lt;&gt;$AE$4,"",11.938)</f>
      </c>
      <c r="AF8" s="11">
        <f>IF($C$8&lt;&gt;$AF$4,"",13.124)</f>
      </c>
      <c r="AG8" s="11">
        <f>IF($C$8&lt;&gt;$AG$4,"",15)</f>
      </c>
      <c r="AI8" s="12"/>
      <c r="AK8" s="12"/>
      <c r="AM8" s="12"/>
    </row>
    <row r="9" spans="1:41" ht="15">
      <c r="A9" s="35"/>
      <c r="B9" s="15" t="str">
        <f>"-"&amp;" "&amp;ROUND(((0.2083*(100/(LOOKUP($C$9,$O$6:$P$10)))^1.852*($C$12^1.852/$Q$13^4.866))*0.433)*($C$10/100),2)</f>
        <v>- 6.91</v>
      </c>
      <c r="C9" s="9" t="s">
        <v>23</v>
      </c>
      <c r="D9" s="10"/>
      <c r="E9" s="6" t="s">
        <v>75</v>
      </c>
      <c r="F9" s="6"/>
      <c r="G9" s="48">
        <f>IF(Q13=0,"Choose different pipe size or type","")</f>
      </c>
      <c r="H9" s="48"/>
      <c r="I9" s="48"/>
      <c r="J9" s="15" t="str">
        <f>CONCATENATE(ROUND(0.408*(C12/Q13^2),3)," ","ft/sec")</f>
        <v>4.329 ft/sec</v>
      </c>
      <c r="O9" t="s">
        <v>26</v>
      </c>
      <c r="P9">
        <v>150</v>
      </c>
      <c r="Q9">
        <f>SUM(R9:AG9)</f>
        <v>0.957</v>
      </c>
      <c r="R9" s="11">
        <f>IF($C$8&lt;&gt;R4,"",0.546)</f>
      </c>
      <c r="S9" s="11">
        <f>IF($C$8&lt;&gt;S4,"",0.742)</f>
      </c>
      <c r="T9" s="11">
        <f>IF($C$8&lt;&gt;T4,"",0.957)</f>
        <v>0.957</v>
      </c>
      <c r="U9" s="11">
        <f>IF($C$8&lt;&gt;$U$4,"",1.278)</f>
      </c>
      <c r="V9" s="11">
        <f>IF($C$8&lt;&gt;$V$4,"",1.5)</f>
      </c>
      <c r="W9" s="11">
        <f>IF($C$8&lt;&gt;$W$4,"",1.939)</f>
      </c>
      <c r="X9" s="11">
        <f>IF($C$8&lt;&gt;$X$4,"",2.323)</f>
      </c>
      <c r="Y9" s="11">
        <f>IF($C$8&lt;&gt;$Y$4,"",2.9)</f>
      </c>
      <c r="Z9" s="11">
        <f>IF($C$8&lt;&gt;$Z$4,"",3.826)</f>
      </c>
      <c r="AA9" s="11">
        <f>IF($C$8&lt;&gt;$AA$4,"",4.813)</f>
      </c>
      <c r="AB9" s="11">
        <f>IF($C$8&lt;&gt;$AB$4,"",5.761)</f>
      </c>
      <c r="AC9" s="11">
        <f>IF($C$8&lt;&gt;$AC$4,"",7.625)</f>
      </c>
      <c r="AD9" s="11">
        <f>IF($C$8&lt;&gt;$AD$4,"",9.564)</f>
      </c>
      <c r="AE9" s="11">
        <f>IF($C$8&lt;&gt;$AE$4,"",11.376)</f>
      </c>
      <c r="AF9" s="11">
        <f>IF($C$8&lt;&gt;$AF$4,"",12.5)</f>
      </c>
      <c r="AG9" s="11">
        <f>IF($C$8&lt;&gt;$AG$4,"",14.314)</f>
      </c>
      <c r="AI9" s="12"/>
      <c r="AK9" s="12"/>
      <c r="AM9" s="12"/>
      <c r="AO9" s="12"/>
    </row>
    <row r="10" spans="1:35" ht="15">
      <c r="A10" s="35"/>
      <c r="C10" s="9">
        <v>250</v>
      </c>
      <c r="D10" s="10"/>
      <c r="E10" s="6" t="s">
        <v>76</v>
      </c>
      <c r="F10" s="6"/>
      <c r="G10" s="6"/>
      <c r="H10" s="6"/>
      <c r="I10" s="6"/>
      <c r="J10" s="38" t="s">
        <v>29</v>
      </c>
      <c r="O10" t="s">
        <v>28</v>
      </c>
      <c r="P10">
        <v>140</v>
      </c>
      <c r="Q10">
        <f>SUM(R10:AG10)</f>
        <v>0.995</v>
      </c>
      <c r="R10" s="11">
        <f>IF($C$8&lt;&gt;R4,"",0.527)</f>
      </c>
      <c r="S10" s="11">
        <f>IF($C$8&lt;&gt;S4,"",0.745)</f>
      </c>
      <c r="T10" s="11">
        <f>IF($C$8&lt;&gt;T4,"",0.995)</f>
        <v>0.995</v>
      </c>
      <c r="U10" s="11">
        <f>IF($C$8&lt;&gt;$U$4,"",1.245)</f>
      </c>
      <c r="V10" s="11">
        <f>IF($C$8&lt;&gt;$V$4,"",1.481)</f>
      </c>
      <c r="W10" s="11">
        <f>IF($C$8&lt;&gt;$W$4,"",1.959)</f>
      </c>
      <c r="X10" s="11">
        <f>IF($C$8&lt;&gt;$X$4,"",2.435)</f>
      </c>
      <c r="Y10" s="11">
        <f>IF($C$8&lt;&gt;$Y$4,"",2.907)</f>
      </c>
      <c r="Z10" s="11">
        <f>IF($C$8&lt;&gt;$Z$4,"","")</f>
      </c>
      <c r="AA10" s="11">
        <f>IF($C$8&lt;&gt;$AA$4,"","")</f>
      </c>
      <c r="AB10" s="11">
        <f>IF($C$8&lt;&gt;$AB$4,"","")</f>
      </c>
      <c r="AC10" s="11">
        <f>IF($C$8&lt;&gt;$AC$4,"","")</f>
      </c>
      <c r="AD10" s="11">
        <f>IF($C$8&lt;&gt;$AD$4,"","")</f>
      </c>
      <c r="AE10" s="11">
        <f>IF($C$8&lt;&gt;$AE$4,"","")</f>
      </c>
      <c r="AF10" s="11">
        <f>IF($C$8&lt;&gt;$AF$4,"","")</f>
      </c>
      <c r="AG10" s="11">
        <f>IF($C$8&lt;&gt;$AG$4,"","")</f>
      </c>
      <c r="AI10" s="12"/>
    </row>
    <row r="11" spans="2:33" ht="15">
      <c r="B11" s="40" t="str">
        <f>"-"&amp;" "&amp;LOOKUP(C11,O18:O28,R18:R28)</f>
        <v>- 3.8</v>
      </c>
      <c r="C11" s="9" t="s">
        <v>25</v>
      </c>
      <c r="D11" s="10"/>
      <c r="E11" s="6" t="s">
        <v>77</v>
      </c>
      <c r="F11" s="6"/>
      <c r="G11" s="48">
        <f>IF(LOOKUP(C11,O18:P28)&lt;C12,"Flow Too High for Valve Size",IF(LOOKUP(C11,O18:O28,Q18:Q28)&gt;C12,"Flow Too Low for Valve Size",IF(LOOKUP(C11,O18:O28,R18:R28)="","Flow Outside Valve Parameters","")))</f>
      </c>
      <c r="H11" s="48"/>
      <c r="I11" s="48"/>
      <c r="J11" s="20" t="str">
        <f>CONCATENATE(ROUND(((0.2083*(100/(LOOKUP($C$9,$O$6:$P$10)))^1.852*($C$12^1.852/$Q$13^4.866))*0.433)*($C$10/100),3)," ","psi")</f>
        <v>6.907 psi</v>
      </c>
      <c r="R11" s="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7"/>
      <c r="AG11" s="17"/>
    </row>
    <row r="12" spans="2:33" ht="15">
      <c r="B12" s="40"/>
      <c r="C12" s="9">
        <v>15</v>
      </c>
      <c r="D12" s="10"/>
      <c r="E12" s="6" t="s">
        <v>78</v>
      </c>
      <c r="F12" s="6"/>
      <c r="G12" s="48">
        <f>IF(U13&gt;5,"Velocity Too High for Pipe Size","")</f>
      </c>
      <c r="H12" s="48"/>
      <c r="I12" s="48"/>
      <c r="J12" s="38" t="s">
        <v>62</v>
      </c>
      <c r="Q12" t="s">
        <v>30</v>
      </c>
      <c r="R12" s="5"/>
      <c r="S12" s="16" t="s">
        <v>31</v>
      </c>
      <c r="T12" s="16"/>
      <c r="U12" s="16" t="s">
        <v>32</v>
      </c>
      <c r="V12" s="16"/>
      <c r="W12" s="16"/>
      <c r="X12" s="16"/>
      <c r="Y12" s="16"/>
      <c r="Z12" s="16"/>
      <c r="AA12" s="16"/>
      <c r="AB12" s="16"/>
      <c r="AC12" s="16"/>
      <c r="AD12" s="5"/>
      <c r="AE12" s="17"/>
      <c r="AF12" s="19"/>
      <c r="AG12" s="17"/>
    </row>
    <row r="13" spans="1:33" ht="15">
      <c r="A13" s="35"/>
      <c r="C13" s="9" t="s">
        <v>67</v>
      </c>
      <c r="E13" s="6" t="s">
        <v>79</v>
      </c>
      <c r="F13" s="6"/>
      <c r="G13" s="48">
        <f>IF(C12&gt;LOOKUP(C14,O44:P48),"Flow Too High for Backflow Size","")</f>
      </c>
      <c r="H13" s="48"/>
      <c r="I13" s="48"/>
      <c r="J13" s="14" t="str">
        <f>LOOKUP(C14,O44:O48,Q44:Q48)&amp;" "&amp;"psi"</f>
        <v>6.5 psi</v>
      </c>
      <c r="Q13">
        <f>LOOKUP(C9,O6:O10,Q6:Q10)</f>
        <v>1.189</v>
      </c>
      <c r="R13" s="16"/>
      <c r="S13" s="16">
        <f>((0.2083*(100/(LOOKUP($C$9,$O$6:$P$10)))^1.852*($C$12^1.852/$Q$13^4.866))*0.433)*($C$10/100)</f>
        <v>6.9068857213645485</v>
      </c>
      <c r="T13" s="16"/>
      <c r="U13" s="16">
        <f>0.408*(C12/Q13^2)</f>
        <v>4.329001266869487</v>
      </c>
      <c r="V13" s="16"/>
      <c r="W13" s="16"/>
      <c r="X13" s="16"/>
      <c r="Y13" s="16"/>
      <c r="Z13" s="16"/>
      <c r="AA13" s="16"/>
      <c r="AB13" s="16"/>
      <c r="AC13" s="16"/>
      <c r="AD13" s="16"/>
      <c r="AE13" s="17"/>
      <c r="AF13" s="17"/>
      <c r="AG13" s="17"/>
    </row>
    <row r="14" spans="1:33" ht="15">
      <c r="A14" s="35"/>
      <c r="B14" s="14" t="str">
        <f>"-"&amp;" "&amp;LOOKUP(C14,O44:O48,Q44:Q48)</f>
        <v>- 6.5</v>
      </c>
      <c r="C14" s="9" t="s">
        <v>42</v>
      </c>
      <c r="E14" s="31" t="s">
        <v>80</v>
      </c>
      <c r="F14" s="6"/>
      <c r="G14" s="13"/>
      <c r="H14" s="13"/>
      <c r="I14" s="13"/>
      <c r="J14" s="14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</row>
    <row r="15" spans="2:33" ht="15">
      <c r="B15" s="41"/>
      <c r="C15" s="18">
        <f>IF(ISERROR(C6-(C7/2.31)-S13-LOOKUP(C11,O18:O28,R18:R28)-LOOKUP(C5,O35:O41,R35:R41)-LOOKUP(C14,O44:O48,Q44:Q48)),"Select Appropriate Components",C6-(C7/2.31)-S13-LOOKUP(C11,O18:O28,R18:R28)-LOOKUP(C5,O35:O41,R35:R41)-LOOKUP(C14,O44:O48,Q44:Q48))</f>
        <v>57.32861211413329</v>
      </c>
      <c r="D15" s="10"/>
      <c r="E15" s="6" t="s">
        <v>59</v>
      </c>
      <c r="F15" s="6"/>
      <c r="G15" s="6"/>
      <c r="H15" s="6"/>
      <c r="I15" s="6"/>
      <c r="J15" s="8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7"/>
      <c r="AG15" s="17"/>
    </row>
    <row r="16" spans="2:33" ht="15">
      <c r="B16" s="26"/>
      <c r="C16" s="28"/>
      <c r="D16" s="27"/>
      <c r="E16" s="28"/>
      <c r="F16" s="28"/>
      <c r="G16" s="28"/>
      <c r="H16" s="28"/>
      <c r="I16" s="28"/>
      <c r="J16" s="29"/>
      <c r="T16" s="16" t="s">
        <v>33</v>
      </c>
      <c r="U16" s="42" t="s">
        <v>34</v>
      </c>
      <c r="V16" s="42"/>
      <c r="W16" s="43" t="s">
        <v>35</v>
      </c>
      <c r="X16" s="43"/>
      <c r="Y16" s="43"/>
      <c r="Z16" s="42" t="s">
        <v>36</v>
      </c>
      <c r="AA16" s="42"/>
      <c r="AB16" s="42"/>
      <c r="AC16" s="43" t="s">
        <v>37</v>
      </c>
      <c r="AD16" s="43"/>
      <c r="AE16" s="43"/>
      <c r="AF16" s="19"/>
      <c r="AG16" s="17"/>
    </row>
    <row r="17" spans="2:33" ht="15">
      <c r="B17" s="36"/>
      <c r="C17" s="10"/>
      <c r="D17" s="7"/>
      <c r="E17" s="6"/>
      <c r="F17" s="6"/>
      <c r="G17" s="6"/>
      <c r="H17" s="6"/>
      <c r="I17" s="6"/>
      <c r="J17" s="6"/>
      <c r="O17" t="s">
        <v>38</v>
      </c>
      <c r="P17" t="s">
        <v>39</v>
      </c>
      <c r="Q17" t="s">
        <v>40</v>
      </c>
      <c r="R17" t="s">
        <v>41</v>
      </c>
      <c r="S17" s="5" t="s">
        <v>1</v>
      </c>
      <c r="U17" s="21" t="s">
        <v>42</v>
      </c>
      <c r="V17" s="5" t="s">
        <v>5</v>
      </c>
      <c r="W17" s="5" t="s">
        <v>5</v>
      </c>
      <c r="X17" s="5" t="s">
        <v>7</v>
      </c>
      <c r="Y17" s="5" t="s">
        <v>8</v>
      </c>
      <c r="Z17" s="5" t="s">
        <v>5</v>
      </c>
      <c r="AA17" s="5" t="s">
        <v>7</v>
      </c>
      <c r="AB17" s="5" t="s">
        <v>8</v>
      </c>
      <c r="AC17" s="5" t="s">
        <v>5</v>
      </c>
      <c r="AD17" s="5" t="s">
        <v>7</v>
      </c>
      <c r="AE17" s="5" t="s">
        <v>8</v>
      </c>
      <c r="AG17" s="22"/>
    </row>
    <row r="18" spans="2:32" ht="15">
      <c r="B18" s="36"/>
      <c r="C18" s="10"/>
      <c r="D18" s="7" t="s">
        <v>81</v>
      </c>
      <c r="E18" s="6"/>
      <c r="F18" s="6"/>
      <c r="G18" s="6"/>
      <c r="H18" s="6"/>
      <c r="I18" s="6"/>
      <c r="J18" s="6"/>
      <c r="O18" t="s">
        <v>43</v>
      </c>
      <c r="P18" s="5">
        <v>22</v>
      </c>
      <c r="Q18" s="5">
        <v>0.2</v>
      </c>
      <c r="R18" s="5">
        <f>IF(LOOKUP($C$12,$T$18:$T$31,U18:U31)&lt;&gt;0,LOOKUP($C$12,$T$18:$T$31,U18:U31),"")</f>
        <v>5</v>
      </c>
      <c r="T18">
        <v>1</v>
      </c>
      <c r="U18" s="23">
        <v>3.2</v>
      </c>
      <c r="V18" s="23">
        <v>3.3</v>
      </c>
      <c r="W18" s="23">
        <v>5.1</v>
      </c>
      <c r="X18" s="23"/>
      <c r="Y18" s="23"/>
      <c r="Z18" s="23">
        <v>4.3</v>
      </c>
      <c r="AA18" s="23"/>
      <c r="AB18" s="23"/>
      <c r="AC18" s="23">
        <v>1.3</v>
      </c>
      <c r="AD18" s="23"/>
      <c r="AE18" s="23"/>
      <c r="AF18" s="24">
        <v>1</v>
      </c>
    </row>
    <row r="19" spans="2:32" ht="15">
      <c r="B19" s="36"/>
      <c r="C19" s="10"/>
      <c r="D19" s="7" t="s">
        <v>82</v>
      </c>
      <c r="E19" s="6"/>
      <c r="F19" s="6"/>
      <c r="G19" s="6"/>
      <c r="H19" s="6"/>
      <c r="I19" s="6"/>
      <c r="J19" s="6"/>
      <c r="O19" t="s">
        <v>25</v>
      </c>
      <c r="P19" s="5">
        <v>30</v>
      </c>
      <c r="Q19" s="5">
        <v>0.2</v>
      </c>
      <c r="R19" s="5">
        <f>IF(LOOKUP($C$12,$T$18:$T$31,V18:V31)&lt;&gt;0,LOOKUP($C$12,$T$18:$T$31,V18:V31),"")</f>
        <v>3.8</v>
      </c>
      <c r="T19">
        <v>3</v>
      </c>
      <c r="U19" s="23">
        <v>3.9</v>
      </c>
      <c r="V19" s="23">
        <v>3.6</v>
      </c>
      <c r="W19" s="23">
        <v>5.3</v>
      </c>
      <c r="X19" s="23"/>
      <c r="Y19" s="23"/>
      <c r="Z19" s="25"/>
      <c r="AA19" s="23"/>
      <c r="AB19" s="23"/>
      <c r="AC19" s="25"/>
      <c r="AD19" s="23"/>
      <c r="AE19" s="23"/>
      <c r="AF19" s="24">
        <v>3</v>
      </c>
    </row>
    <row r="20" spans="2:32" ht="15">
      <c r="B20" s="6"/>
      <c r="C20" s="13"/>
      <c r="D20" s="7"/>
      <c r="E20" s="6"/>
      <c r="F20" s="6"/>
      <c r="G20" s="6"/>
      <c r="H20" s="6"/>
      <c r="I20" s="6"/>
      <c r="J20" s="6"/>
      <c r="O20" t="s">
        <v>44</v>
      </c>
      <c r="P20" s="5">
        <v>50</v>
      </c>
      <c r="Q20" s="5">
        <v>5</v>
      </c>
      <c r="R20" s="5">
        <f>IF(LOOKUP($C$12,$T$18:$T$31,AC18:AC31)&lt;&gt;0,LOOKUP($C$12,$T$18:$T$31,AC18:AC31),"")</f>
        <v>1.8</v>
      </c>
      <c r="T20">
        <v>5</v>
      </c>
      <c r="U20" s="23">
        <v>4.2</v>
      </c>
      <c r="V20" s="23">
        <v>3.8</v>
      </c>
      <c r="W20" s="23">
        <v>5.5</v>
      </c>
      <c r="X20" s="23"/>
      <c r="Y20" s="23"/>
      <c r="Z20" s="23">
        <v>5</v>
      </c>
      <c r="AA20" s="23"/>
      <c r="AB20" s="23"/>
      <c r="AC20" s="23">
        <v>1.7</v>
      </c>
      <c r="AD20" s="23"/>
      <c r="AE20" s="23"/>
      <c r="AF20" s="24">
        <v>5</v>
      </c>
    </row>
    <row r="21" spans="15:32" ht="12.75">
      <c r="O21" t="s">
        <v>45</v>
      </c>
      <c r="P21" s="5">
        <v>40</v>
      </c>
      <c r="Q21" s="5">
        <v>5</v>
      </c>
      <c r="R21" s="5">
        <f>IF(LOOKUP($C$12,$T$18:$T$31,Z18:Z31)&lt;&gt;0,LOOKUP($C$12,$T$18:$T$31,Z18:Z31),"")</f>
        <v>5.5</v>
      </c>
      <c r="T21">
        <v>10</v>
      </c>
      <c r="U21" s="23">
        <v>5</v>
      </c>
      <c r="V21" s="23">
        <v>3.8</v>
      </c>
      <c r="W21" s="23">
        <v>5.9</v>
      </c>
      <c r="X21" s="23"/>
      <c r="Y21" s="23"/>
      <c r="Z21" s="23">
        <v>5.5</v>
      </c>
      <c r="AA21" s="23"/>
      <c r="AB21" s="23"/>
      <c r="AC21" s="23">
        <v>1.8</v>
      </c>
      <c r="AD21" s="23"/>
      <c r="AE21" s="23"/>
      <c r="AF21" s="24">
        <v>10</v>
      </c>
    </row>
    <row r="22" spans="15:32" ht="12.75">
      <c r="O22" t="s">
        <v>46</v>
      </c>
      <c r="P22" s="5">
        <v>40</v>
      </c>
      <c r="Q22" s="5">
        <v>5</v>
      </c>
      <c r="R22" s="5">
        <f>IF(LOOKUP($C$12,$T$18:$T$31,W18:W31)&lt;&gt;0,LOOKUP($C$12,$T$18:$T$31,W18:W31),"")</f>
        <v>5.9</v>
      </c>
      <c r="T22">
        <v>20</v>
      </c>
      <c r="U22" s="23">
        <v>7.7</v>
      </c>
      <c r="V22" s="23">
        <v>5.1</v>
      </c>
      <c r="W22" s="23">
        <v>6</v>
      </c>
      <c r="X22" s="23"/>
      <c r="Y22" s="23"/>
      <c r="Z22" s="23">
        <v>5.6</v>
      </c>
      <c r="AA22" s="23"/>
      <c r="AB22" s="23"/>
      <c r="AC22" s="23">
        <v>2.9</v>
      </c>
      <c r="AD22" s="23">
        <v>3.9</v>
      </c>
      <c r="AE22" s="23"/>
      <c r="AF22" s="24">
        <v>20</v>
      </c>
    </row>
    <row r="23" spans="15:32" ht="12.75">
      <c r="O23" t="s">
        <v>47</v>
      </c>
      <c r="P23" s="5">
        <v>150</v>
      </c>
      <c r="Q23" s="5">
        <v>10</v>
      </c>
      <c r="R23" s="5">
        <f>IF(LOOKUP($C$12,$T$18:$T$31,AD18:AD31)&lt;&gt;0,LOOKUP($C$12,$T$18:$T$31,AD18:AD31),"")</f>
      </c>
      <c r="T23">
        <v>30</v>
      </c>
      <c r="U23" s="23"/>
      <c r="V23" s="23">
        <v>6.4</v>
      </c>
      <c r="W23" s="23">
        <v>6.4</v>
      </c>
      <c r="X23" s="23">
        <v>1.9</v>
      </c>
      <c r="Y23" s="23"/>
      <c r="Z23" s="23">
        <v>5.5</v>
      </c>
      <c r="AA23" s="23">
        <v>1.3</v>
      </c>
      <c r="AB23" s="23"/>
      <c r="AC23" s="23">
        <v>5.6</v>
      </c>
      <c r="AD23" s="23">
        <v>3.6</v>
      </c>
      <c r="AE23" s="23"/>
      <c r="AF23" s="24">
        <v>30</v>
      </c>
    </row>
    <row r="24" spans="15:32" ht="12.75">
      <c r="O24" t="s">
        <v>48</v>
      </c>
      <c r="P24" s="5">
        <v>100</v>
      </c>
      <c r="Q24" s="5">
        <v>30</v>
      </c>
      <c r="R24" s="5">
        <f>IF(LOOKUP($C$12,$T$18:$T$31,AA18:AA31)&lt;&gt;0,LOOKUP($C$12,$T$18:$T$31,AA18:AA31),"")</f>
      </c>
      <c r="T24">
        <v>40</v>
      </c>
      <c r="U24" s="23"/>
      <c r="V24" s="23">
        <v>8.6</v>
      </c>
      <c r="W24" s="23">
        <v>7</v>
      </c>
      <c r="X24" s="23">
        <v>3.2</v>
      </c>
      <c r="Y24" s="23">
        <v>1.2</v>
      </c>
      <c r="Z24" s="23">
        <v>7.5</v>
      </c>
      <c r="AA24" s="23">
        <v>2</v>
      </c>
      <c r="AB24" s="23">
        <v>1</v>
      </c>
      <c r="AC24" s="23">
        <v>10</v>
      </c>
      <c r="AD24" s="23">
        <v>3.5</v>
      </c>
      <c r="AE24" s="23"/>
      <c r="AF24" s="24">
        <v>40</v>
      </c>
    </row>
    <row r="25" spans="15:32" ht="12.75">
      <c r="O25" t="s">
        <v>49</v>
      </c>
      <c r="P25" s="5">
        <v>100</v>
      </c>
      <c r="Q25" s="5">
        <v>30</v>
      </c>
      <c r="R25" s="5">
        <f>IF(LOOKUP($C$12,$T$18:$T$31,X18:X31)&lt;&gt;0,LOOKUP($C$12,$T$18:$T$31,X18:X31),"")</f>
      </c>
      <c r="T25">
        <v>50</v>
      </c>
      <c r="U25" s="23"/>
      <c r="V25" s="23"/>
      <c r="W25" s="23"/>
      <c r="X25" s="23">
        <v>4.8</v>
      </c>
      <c r="Y25" s="23">
        <v>1.5</v>
      </c>
      <c r="Z25" s="23"/>
      <c r="AA25" s="23">
        <v>3</v>
      </c>
      <c r="AB25" s="23">
        <v>0.9</v>
      </c>
      <c r="AC25" s="23">
        <v>15.6</v>
      </c>
      <c r="AD25" s="23">
        <v>3.6</v>
      </c>
      <c r="AE25" s="23">
        <v>4.8</v>
      </c>
      <c r="AF25" s="24">
        <v>50</v>
      </c>
    </row>
    <row r="26" spans="3:32" ht="12.75">
      <c r="C26" s="30"/>
      <c r="O26" t="s">
        <v>50</v>
      </c>
      <c r="P26" s="5">
        <v>200</v>
      </c>
      <c r="Q26" s="5">
        <v>50</v>
      </c>
      <c r="R26" s="5">
        <f>IF(LOOKUP($C$12,$T$18:$T$31,AE18:AE31)&lt;&gt;0,LOOKUP($C$12,$T$18:$T$31,AE18:AE31),"")</f>
      </c>
      <c r="T26">
        <v>75</v>
      </c>
      <c r="U26" s="23"/>
      <c r="V26" s="23"/>
      <c r="W26" s="23"/>
      <c r="X26" s="23">
        <v>11.1</v>
      </c>
      <c r="Y26" s="23">
        <v>3</v>
      </c>
      <c r="Z26" s="23"/>
      <c r="AA26" s="23">
        <v>6.5</v>
      </c>
      <c r="AB26" s="23">
        <v>1.7</v>
      </c>
      <c r="AC26" s="23"/>
      <c r="AD26" s="23">
        <v>5.4</v>
      </c>
      <c r="AE26" s="23">
        <v>4.5</v>
      </c>
      <c r="AF26" s="24">
        <v>75</v>
      </c>
    </row>
    <row r="27" spans="3:32" ht="12.75">
      <c r="C27" s="30"/>
      <c r="F27" s="22"/>
      <c r="O27" t="s">
        <v>51</v>
      </c>
      <c r="P27" s="5">
        <v>150</v>
      </c>
      <c r="Q27" s="5">
        <v>40</v>
      </c>
      <c r="R27" s="5">
        <f>IF(LOOKUP($C$12,$T$18:$T$31,AB18:AB31)&lt;&gt;0,LOOKUP($C$12,$T$18:$T$31,AB18:AB31),"")</f>
      </c>
      <c r="T27">
        <v>100</v>
      </c>
      <c r="U27" s="23"/>
      <c r="V27" s="23"/>
      <c r="W27" s="23"/>
      <c r="X27" s="23">
        <v>19.2</v>
      </c>
      <c r="Y27" s="23">
        <v>5.5</v>
      </c>
      <c r="Z27" s="23"/>
      <c r="AA27" s="23">
        <v>11.7</v>
      </c>
      <c r="AB27" s="23">
        <v>3</v>
      </c>
      <c r="AC27" s="23"/>
      <c r="AD27" s="23">
        <v>9.6</v>
      </c>
      <c r="AE27" s="23">
        <v>5.2</v>
      </c>
      <c r="AF27" s="24">
        <v>100</v>
      </c>
    </row>
    <row r="28" spans="3:32" ht="12.75">
      <c r="C28" s="30"/>
      <c r="O28" t="s">
        <v>52</v>
      </c>
      <c r="P28" s="5">
        <v>150</v>
      </c>
      <c r="Q28" s="5">
        <v>40</v>
      </c>
      <c r="R28" s="5">
        <f>IF(LOOKUP($C$12,$T$18:$T$31,Y18:Y31)&lt;&gt;0,LOOKUP($C$12,$T$18:$T$31,Y18:Y31),"")</f>
      </c>
      <c r="T28">
        <v>125</v>
      </c>
      <c r="U28" s="23"/>
      <c r="V28" s="23"/>
      <c r="W28" s="23"/>
      <c r="X28" s="23"/>
      <c r="Y28" s="23">
        <v>8.6</v>
      </c>
      <c r="Z28" s="23"/>
      <c r="AA28" s="23"/>
      <c r="AB28" s="23">
        <v>4.8</v>
      </c>
      <c r="AC28" s="23"/>
      <c r="AD28" s="23">
        <v>14.6</v>
      </c>
      <c r="AE28" s="23">
        <v>8.2</v>
      </c>
      <c r="AF28" s="24">
        <v>125</v>
      </c>
    </row>
    <row r="29" spans="3:32" ht="12.75">
      <c r="C29" s="30"/>
      <c r="T29">
        <v>150</v>
      </c>
      <c r="U29" s="23"/>
      <c r="V29" s="23"/>
      <c r="W29" s="23"/>
      <c r="X29" s="23"/>
      <c r="Y29" s="23">
        <v>12</v>
      </c>
      <c r="Z29" s="23"/>
      <c r="AA29" s="23"/>
      <c r="AB29" s="23">
        <v>6.5</v>
      </c>
      <c r="AC29" s="23"/>
      <c r="AD29" s="23">
        <v>21.2</v>
      </c>
      <c r="AE29" s="23">
        <v>11.8</v>
      </c>
      <c r="AF29" s="24">
        <v>150</v>
      </c>
    </row>
    <row r="30" spans="3:32" ht="12.75">
      <c r="C30" s="30"/>
      <c r="T30">
        <v>175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>
        <v>15.5</v>
      </c>
      <c r="AF30" s="24">
        <v>175</v>
      </c>
    </row>
    <row r="31" spans="3:32" ht="12.75">
      <c r="C31" s="30"/>
      <c r="T31">
        <v>200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>
        <v>19.5</v>
      </c>
      <c r="AF31" s="24">
        <v>200</v>
      </c>
    </row>
    <row r="32" spans="3:33" ht="12.75">
      <c r="C32" s="5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3:44" ht="12.75">
      <c r="C33" s="5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44" t="s">
        <v>64</v>
      </c>
      <c r="AE33" s="44"/>
      <c r="AF33" s="44"/>
      <c r="AG33" s="44"/>
      <c r="AH33" s="44"/>
      <c r="AI33" s="44" t="s">
        <v>65</v>
      </c>
      <c r="AJ33" s="44"/>
      <c r="AK33" s="44"/>
      <c r="AL33" s="44"/>
      <c r="AM33" s="44"/>
      <c r="AN33" s="42" t="s">
        <v>70</v>
      </c>
      <c r="AO33" s="42"/>
      <c r="AP33" s="42"/>
      <c r="AQ33" s="42"/>
      <c r="AR33" s="42"/>
    </row>
    <row r="34" spans="15:45" ht="12.75">
      <c r="O34" t="s">
        <v>54</v>
      </c>
      <c r="P34" t="s">
        <v>39</v>
      </c>
      <c r="Q34" t="s">
        <v>57</v>
      </c>
      <c r="R34" t="s">
        <v>41</v>
      </c>
      <c r="S34" s="22"/>
      <c r="T34" s="22" t="s">
        <v>58</v>
      </c>
      <c r="U34" s="32" t="s">
        <v>55</v>
      </c>
      <c r="V34" s="32" t="s">
        <v>42</v>
      </c>
      <c r="W34" s="32" t="s">
        <v>5</v>
      </c>
      <c r="X34" s="32" t="s">
        <v>56</v>
      </c>
      <c r="Y34" s="32" t="s">
        <v>8</v>
      </c>
      <c r="Z34" s="32" t="s">
        <v>10</v>
      </c>
      <c r="AA34" s="32" t="s">
        <v>11</v>
      </c>
      <c r="AB34" s="19"/>
      <c r="AC34" t="s">
        <v>58</v>
      </c>
      <c r="AD34" s="37" t="s">
        <v>42</v>
      </c>
      <c r="AE34" s="37" t="s">
        <v>5</v>
      </c>
      <c r="AF34" s="37" t="s">
        <v>61</v>
      </c>
      <c r="AG34" s="37" t="s">
        <v>56</v>
      </c>
      <c r="AH34" s="37" t="s">
        <v>8</v>
      </c>
      <c r="AI34" s="37" t="s">
        <v>42</v>
      </c>
      <c r="AJ34" s="37" t="s">
        <v>5</v>
      </c>
      <c r="AK34" s="37" t="s">
        <v>61</v>
      </c>
      <c r="AL34" s="37" t="s">
        <v>56</v>
      </c>
      <c r="AM34" s="37" t="s">
        <v>8</v>
      </c>
      <c r="AN34" s="37" t="s">
        <v>42</v>
      </c>
      <c r="AO34" s="37" t="s">
        <v>5</v>
      </c>
      <c r="AP34" s="37" t="s">
        <v>61</v>
      </c>
      <c r="AQ34" s="37" t="s">
        <v>56</v>
      </c>
      <c r="AR34" s="37" t="s">
        <v>8</v>
      </c>
      <c r="AS34" t="s">
        <v>58</v>
      </c>
    </row>
    <row r="35" spans="14:45" ht="12.75">
      <c r="N35" t="s">
        <v>55</v>
      </c>
      <c r="O35" t="s">
        <v>56</v>
      </c>
      <c r="P35">
        <v>100</v>
      </c>
      <c r="Q35">
        <f aca="true" t="shared" si="0" ref="Q35:Q41">P35*0.75</f>
        <v>75</v>
      </c>
      <c r="R35">
        <f>IF($C$12&lt;=Q35,LOOKUP($C$12,$T$35:$T$99,X35:X80),"high flow")</f>
        <v>0</v>
      </c>
      <c r="S35" s="22"/>
      <c r="T35" s="22">
        <v>1</v>
      </c>
      <c r="U35" s="19">
        <v>0.2</v>
      </c>
      <c r="V35" s="19">
        <v>0.1</v>
      </c>
      <c r="W35" s="19">
        <v>0</v>
      </c>
      <c r="X35" s="33">
        <v>0</v>
      </c>
      <c r="Y35" s="19">
        <v>0</v>
      </c>
      <c r="Z35" s="19">
        <v>0</v>
      </c>
      <c r="AA35" s="19">
        <v>0</v>
      </c>
      <c r="AB35" s="19"/>
      <c r="AC35">
        <v>0</v>
      </c>
      <c r="AD35" s="5">
        <v>3</v>
      </c>
      <c r="AE35" s="5">
        <v>3</v>
      </c>
      <c r="AF35" s="5">
        <v>5</v>
      </c>
      <c r="AG35" s="5">
        <v>5</v>
      </c>
      <c r="AH35" s="19">
        <v>5</v>
      </c>
      <c r="AI35" s="19">
        <v>2</v>
      </c>
      <c r="AJ35" s="19">
        <v>2</v>
      </c>
      <c r="AK35" s="19">
        <v>2</v>
      </c>
      <c r="AL35" s="19">
        <v>2</v>
      </c>
      <c r="AM35" s="19">
        <v>2</v>
      </c>
      <c r="AN35" s="19">
        <v>8</v>
      </c>
      <c r="AO35" s="5">
        <v>10</v>
      </c>
      <c r="AP35" s="5">
        <v>11.5</v>
      </c>
      <c r="AQ35" s="5">
        <v>11.5</v>
      </c>
      <c r="AR35" s="5">
        <v>11.5</v>
      </c>
      <c r="AS35" s="24">
        <v>0</v>
      </c>
    </row>
    <row r="36" spans="14:45" ht="12.75">
      <c r="N36" t="s">
        <v>42</v>
      </c>
      <c r="O36" t="s">
        <v>5</v>
      </c>
      <c r="P36">
        <v>50</v>
      </c>
      <c r="Q36">
        <f t="shared" si="0"/>
        <v>37.5</v>
      </c>
      <c r="R36">
        <f>IF($C$12&lt;=Q36,LOOKUP($C$12,$T$35:$T$99,W35:W69),"high flow")</f>
        <v>1.2</v>
      </c>
      <c r="S36" s="22"/>
      <c r="T36" s="22">
        <v>2</v>
      </c>
      <c r="U36" s="19">
        <v>0.3</v>
      </c>
      <c r="V36" s="19">
        <v>0.2</v>
      </c>
      <c r="W36" s="19">
        <v>0</v>
      </c>
      <c r="X36" s="33">
        <v>0</v>
      </c>
      <c r="Y36" s="19">
        <v>0</v>
      </c>
      <c r="Z36" s="19">
        <v>0</v>
      </c>
      <c r="AA36" s="19">
        <v>0</v>
      </c>
      <c r="AB36" s="22"/>
      <c r="AC36">
        <v>5</v>
      </c>
      <c r="AD36" s="5">
        <v>5.5</v>
      </c>
      <c r="AE36" s="5">
        <v>5</v>
      </c>
      <c r="AF36" s="5">
        <v>5.5</v>
      </c>
      <c r="AG36" s="5">
        <v>5.5</v>
      </c>
      <c r="AH36" s="19">
        <v>5.5</v>
      </c>
      <c r="AI36" s="19">
        <v>3.25</v>
      </c>
      <c r="AJ36" s="19">
        <v>3.25</v>
      </c>
      <c r="AK36" s="19">
        <v>3</v>
      </c>
      <c r="AL36" s="19">
        <v>2.1</v>
      </c>
      <c r="AM36" s="19">
        <v>2.1</v>
      </c>
      <c r="AN36" s="5">
        <v>10.5</v>
      </c>
      <c r="AO36" s="5">
        <v>11</v>
      </c>
      <c r="AP36" s="5">
        <v>14</v>
      </c>
      <c r="AQ36" s="5">
        <v>14</v>
      </c>
      <c r="AR36" s="5">
        <v>14</v>
      </c>
      <c r="AS36" s="24">
        <v>5</v>
      </c>
    </row>
    <row r="37" spans="14:45" ht="12.75">
      <c r="N37" t="s">
        <v>5</v>
      </c>
      <c r="O37" t="s">
        <v>8</v>
      </c>
      <c r="P37">
        <v>160</v>
      </c>
      <c r="Q37">
        <f t="shared" si="0"/>
        <v>120</v>
      </c>
      <c r="R37">
        <f>IF($C$12&lt;=Q37,LOOKUP($C$12,$T$35:$T$99,Y35:Y86),"high flow")</f>
        <v>0</v>
      </c>
      <c r="S37" s="22"/>
      <c r="T37" s="22">
        <v>3</v>
      </c>
      <c r="U37" s="30">
        <v>0.4</v>
      </c>
      <c r="V37" s="30">
        <v>0.3</v>
      </c>
      <c r="W37" s="19">
        <v>0</v>
      </c>
      <c r="X37" s="33">
        <v>0</v>
      </c>
      <c r="Y37" s="19">
        <v>0</v>
      </c>
      <c r="Z37" s="19">
        <v>0</v>
      </c>
      <c r="AA37" s="19">
        <v>0</v>
      </c>
      <c r="AB37" s="22"/>
      <c r="AC37">
        <v>10</v>
      </c>
      <c r="AD37" s="5">
        <v>5.75</v>
      </c>
      <c r="AE37" s="5">
        <v>5.4</v>
      </c>
      <c r="AF37" s="5">
        <v>6</v>
      </c>
      <c r="AG37" s="5">
        <v>6</v>
      </c>
      <c r="AH37" s="19">
        <v>6</v>
      </c>
      <c r="AI37" s="19">
        <v>4</v>
      </c>
      <c r="AJ37" s="19">
        <v>3.9</v>
      </c>
      <c r="AK37" s="19">
        <v>3.5</v>
      </c>
      <c r="AL37" s="19">
        <v>2.4</v>
      </c>
      <c r="AM37" s="19">
        <v>2.4</v>
      </c>
      <c r="AN37" s="5">
        <v>11</v>
      </c>
      <c r="AO37" s="5">
        <v>11.25</v>
      </c>
      <c r="AP37" s="5">
        <v>13.8</v>
      </c>
      <c r="AQ37" s="5">
        <v>13.8</v>
      </c>
      <c r="AR37" s="5">
        <v>13.8</v>
      </c>
      <c r="AS37" s="24">
        <v>10</v>
      </c>
    </row>
    <row r="38" spans="14:45" ht="12.75">
      <c r="N38" t="s">
        <v>56</v>
      </c>
      <c r="O38" t="s">
        <v>10</v>
      </c>
      <c r="P38">
        <v>300</v>
      </c>
      <c r="Q38">
        <f t="shared" si="0"/>
        <v>225</v>
      </c>
      <c r="R38">
        <f>IF($C$12&lt;=Q38,LOOKUP($C$12,$T$35:$T$99,Z35:Z95),"high flow")</f>
        <v>0</v>
      </c>
      <c r="S38" s="22"/>
      <c r="T38" s="22">
        <v>4</v>
      </c>
      <c r="U38" s="19">
        <v>0.6</v>
      </c>
      <c r="V38" s="19">
        <v>0.5</v>
      </c>
      <c r="W38" s="19">
        <v>0.1</v>
      </c>
      <c r="X38" s="33">
        <v>0</v>
      </c>
      <c r="Y38" s="19">
        <v>0</v>
      </c>
      <c r="Z38" s="19">
        <v>0</v>
      </c>
      <c r="AA38" s="19">
        <v>0</v>
      </c>
      <c r="AB38" s="22"/>
      <c r="AC38">
        <v>15</v>
      </c>
      <c r="AD38" s="5">
        <v>6.5</v>
      </c>
      <c r="AE38" s="5">
        <v>5.5</v>
      </c>
      <c r="AF38" s="5">
        <v>6.2</v>
      </c>
      <c r="AG38" s="5">
        <v>6.2</v>
      </c>
      <c r="AH38" s="19">
        <v>6.2</v>
      </c>
      <c r="AI38" s="19">
        <v>4.5</v>
      </c>
      <c r="AJ38" s="19">
        <v>4</v>
      </c>
      <c r="AK38" s="19">
        <v>3.75</v>
      </c>
      <c r="AL38" s="19">
        <v>2.75</v>
      </c>
      <c r="AM38" s="19">
        <v>2.75</v>
      </c>
      <c r="AN38" s="5">
        <v>11.75</v>
      </c>
      <c r="AO38" s="5">
        <v>11.75</v>
      </c>
      <c r="AP38" s="5">
        <v>13.8</v>
      </c>
      <c r="AQ38" s="5">
        <v>13.7</v>
      </c>
      <c r="AR38" s="5">
        <v>13.7</v>
      </c>
      <c r="AS38" s="24">
        <v>15</v>
      </c>
    </row>
    <row r="39" spans="14:45" ht="12.75">
      <c r="N39" t="s">
        <v>8</v>
      </c>
      <c r="O39" t="s">
        <v>42</v>
      </c>
      <c r="P39">
        <v>30</v>
      </c>
      <c r="Q39">
        <f t="shared" si="0"/>
        <v>22.5</v>
      </c>
      <c r="R39">
        <f>IF($C$12&lt;=Q39,LOOKUP($C$12,$T$35:$T$99,V35:V59),"high flow")</f>
        <v>3.6</v>
      </c>
      <c r="S39" s="22"/>
      <c r="T39" s="22">
        <v>5</v>
      </c>
      <c r="U39" s="19">
        <v>0.9</v>
      </c>
      <c r="V39" s="19">
        <v>0.6</v>
      </c>
      <c r="W39" s="19">
        <v>0.2</v>
      </c>
      <c r="X39" s="33">
        <v>0</v>
      </c>
      <c r="Y39" s="19">
        <v>0</v>
      </c>
      <c r="Z39" s="19">
        <v>0</v>
      </c>
      <c r="AA39" s="19">
        <v>0</v>
      </c>
      <c r="AB39" s="22"/>
      <c r="AC39">
        <v>20</v>
      </c>
      <c r="AD39" s="5">
        <v>7.9</v>
      </c>
      <c r="AE39" s="5">
        <v>5.51</v>
      </c>
      <c r="AF39" s="5">
        <v>6.4</v>
      </c>
      <c r="AG39" s="5">
        <v>6.4</v>
      </c>
      <c r="AH39" s="19">
        <v>6.4</v>
      </c>
      <c r="AI39" s="19">
        <v>5.5</v>
      </c>
      <c r="AJ39" s="19">
        <v>4.2</v>
      </c>
      <c r="AK39" s="19">
        <v>4</v>
      </c>
      <c r="AL39" s="19">
        <v>3</v>
      </c>
      <c r="AM39" s="19">
        <v>3</v>
      </c>
      <c r="AN39" s="5">
        <v>12.75</v>
      </c>
      <c r="AO39" s="5">
        <v>12</v>
      </c>
      <c r="AP39" s="5">
        <v>13.8</v>
      </c>
      <c r="AQ39" s="5">
        <v>13.6</v>
      </c>
      <c r="AR39" s="5">
        <v>13.6</v>
      </c>
      <c r="AS39" s="24">
        <v>20</v>
      </c>
    </row>
    <row r="40" spans="14:45" ht="12.75">
      <c r="N40" t="s">
        <v>10</v>
      </c>
      <c r="O40" t="s">
        <v>11</v>
      </c>
      <c r="P40">
        <v>500</v>
      </c>
      <c r="Q40">
        <f t="shared" si="0"/>
        <v>375</v>
      </c>
      <c r="R40">
        <f>IF($C$12&lt;=Q40,LOOKUP($C$12,$T$35:$T$99,AA35:AA99),"high flow")</f>
        <v>0</v>
      </c>
      <c r="S40" s="22"/>
      <c r="T40" s="22">
        <v>6</v>
      </c>
      <c r="U40" s="19">
        <v>1.3</v>
      </c>
      <c r="V40" s="19">
        <v>0.7</v>
      </c>
      <c r="W40" s="19">
        <v>0.3</v>
      </c>
      <c r="X40" s="33">
        <v>0</v>
      </c>
      <c r="Y40" s="19">
        <v>0</v>
      </c>
      <c r="Z40" s="19">
        <v>0</v>
      </c>
      <c r="AA40" s="19">
        <v>0</v>
      </c>
      <c r="AB40" s="22"/>
      <c r="AC40">
        <v>25</v>
      </c>
      <c r="AD40" s="5">
        <v>9</v>
      </c>
      <c r="AE40" s="5">
        <v>5.8</v>
      </c>
      <c r="AF40" s="5">
        <v>6.5</v>
      </c>
      <c r="AG40" s="5">
        <v>6.5</v>
      </c>
      <c r="AH40" s="19">
        <v>6.5</v>
      </c>
      <c r="AI40" s="19">
        <v>6.5</v>
      </c>
      <c r="AJ40" s="19">
        <v>4.5</v>
      </c>
      <c r="AK40" s="19">
        <v>4.25</v>
      </c>
      <c r="AL40" s="19">
        <v>3.1</v>
      </c>
      <c r="AM40" s="19">
        <v>3.2</v>
      </c>
      <c r="AN40" s="5">
        <v>13.75</v>
      </c>
      <c r="AO40" s="5">
        <v>12</v>
      </c>
      <c r="AP40" s="5">
        <v>13.9</v>
      </c>
      <c r="AQ40" s="5">
        <v>13.5</v>
      </c>
      <c r="AR40" s="5">
        <v>13.5</v>
      </c>
      <c r="AS40" s="24">
        <v>25</v>
      </c>
    </row>
    <row r="41" spans="14:45" ht="12.75">
      <c r="N41" t="s">
        <v>11</v>
      </c>
      <c r="O41" t="s">
        <v>55</v>
      </c>
      <c r="P41">
        <v>20</v>
      </c>
      <c r="Q41">
        <f t="shared" si="0"/>
        <v>15</v>
      </c>
      <c r="R41">
        <f>IF(C12&lt;=Q41,LOOKUP(C12,T35:T99,U35:U54),"high flow")</f>
        <v>8.3</v>
      </c>
      <c r="S41" s="22"/>
      <c r="T41" s="22">
        <v>7</v>
      </c>
      <c r="U41" s="19">
        <v>1.8</v>
      </c>
      <c r="V41" s="19">
        <v>0.8</v>
      </c>
      <c r="W41" s="19">
        <v>0.4</v>
      </c>
      <c r="X41" s="33">
        <v>0</v>
      </c>
      <c r="Y41" s="19">
        <v>0</v>
      </c>
      <c r="Z41" s="19">
        <v>0</v>
      </c>
      <c r="AA41" s="19">
        <v>0</v>
      </c>
      <c r="AB41" s="22"/>
      <c r="AC41">
        <v>30</v>
      </c>
      <c r="AD41" s="5">
        <v>9.8</v>
      </c>
      <c r="AE41" s="5">
        <v>6</v>
      </c>
      <c r="AF41" s="5">
        <v>6.8</v>
      </c>
      <c r="AG41" s="5">
        <v>6.51</v>
      </c>
      <c r="AH41" s="19">
        <v>6.4</v>
      </c>
      <c r="AI41" s="19">
        <v>7.5</v>
      </c>
      <c r="AJ41" s="19">
        <v>5</v>
      </c>
      <c r="AK41" s="19">
        <v>4.5</v>
      </c>
      <c r="AL41" s="19">
        <v>3.2</v>
      </c>
      <c r="AM41" s="19">
        <v>3.5</v>
      </c>
      <c r="AN41" s="5">
        <v>14</v>
      </c>
      <c r="AO41" s="5">
        <v>12</v>
      </c>
      <c r="AP41" s="5">
        <v>13.9</v>
      </c>
      <c r="AQ41" s="5">
        <v>13.5</v>
      </c>
      <c r="AR41" s="5">
        <v>13.5</v>
      </c>
      <c r="AS41" s="24">
        <v>30</v>
      </c>
    </row>
    <row r="42" spans="19:45" ht="12.75">
      <c r="S42" s="22"/>
      <c r="T42" s="22">
        <v>8</v>
      </c>
      <c r="U42" s="19">
        <v>2.3</v>
      </c>
      <c r="V42" s="19">
        <v>1</v>
      </c>
      <c r="W42" s="19">
        <v>0.5</v>
      </c>
      <c r="X42" s="33">
        <v>0</v>
      </c>
      <c r="Y42" s="19">
        <v>0</v>
      </c>
      <c r="Z42" s="19">
        <v>0</v>
      </c>
      <c r="AA42" s="19">
        <v>0</v>
      </c>
      <c r="AB42" s="22"/>
      <c r="AC42">
        <v>35</v>
      </c>
      <c r="AD42" s="5"/>
      <c r="AE42" s="5">
        <v>6.5</v>
      </c>
      <c r="AF42" s="5">
        <v>6.9</v>
      </c>
      <c r="AG42" s="5">
        <v>6.52</v>
      </c>
      <c r="AH42" s="19">
        <v>6.2</v>
      </c>
      <c r="AJ42" s="19">
        <v>5.5</v>
      </c>
      <c r="AK42" s="19">
        <v>4.75</v>
      </c>
      <c r="AL42" s="19">
        <v>3.4</v>
      </c>
      <c r="AM42" s="19">
        <v>3.75</v>
      </c>
      <c r="AN42" s="5"/>
      <c r="AO42" s="5">
        <v>12.2</v>
      </c>
      <c r="AP42" s="5">
        <v>13.9</v>
      </c>
      <c r="AQ42" s="5">
        <v>13.5</v>
      </c>
      <c r="AR42" s="5">
        <v>13.5</v>
      </c>
      <c r="AS42" s="24">
        <v>35</v>
      </c>
    </row>
    <row r="43" spans="15:45" ht="12.75">
      <c r="O43" t="s">
        <v>60</v>
      </c>
      <c r="P43" t="s">
        <v>39</v>
      </c>
      <c r="Q43" t="s">
        <v>41</v>
      </c>
      <c r="S43" s="22"/>
      <c r="T43" s="22">
        <v>9</v>
      </c>
      <c r="U43" s="19">
        <v>3</v>
      </c>
      <c r="V43" s="19">
        <v>1.3</v>
      </c>
      <c r="W43" s="19">
        <v>0.6</v>
      </c>
      <c r="X43" s="33">
        <v>0</v>
      </c>
      <c r="Y43" s="19">
        <v>0</v>
      </c>
      <c r="Z43" s="19">
        <v>0</v>
      </c>
      <c r="AA43" s="19">
        <v>0</v>
      </c>
      <c r="AB43" s="22"/>
      <c r="AC43">
        <v>40</v>
      </c>
      <c r="AD43" s="5"/>
      <c r="AE43" s="5">
        <v>7</v>
      </c>
      <c r="AF43" s="5">
        <v>7</v>
      </c>
      <c r="AG43" s="5">
        <v>6.6</v>
      </c>
      <c r="AH43" s="19">
        <v>6.1</v>
      </c>
      <c r="AJ43" s="19">
        <v>6</v>
      </c>
      <c r="AK43" s="19">
        <v>5</v>
      </c>
      <c r="AL43" s="19">
        <v>3.5</v>
      </c>
      <c r="AM43" s="19">
        <v>4</v>
      </c>
      <c r="AN43" s="5"/>
      <c r="AO43" s="5">
        <v>12.75</v>
      </c>
      <c r="AP43" s="5">
        <v>14</v>
      </c>
      <c r="AQ43" s="5">
        <v>13.5</v>
      </c>
      <c r="AR43" s="5">
        <v>13.5</v>
      </c>
      <c r="AS43" s="24">
        <v>40</v>
      </c>
    </row>
    <row r="44" spans="14:45" ht="12.75">
      <c r="N44" t="s">
        <v>42</v>
      </c>
      <c r="O44" t="s">
        <v>56</v>
      </c>
      <c r="P44">
        <v>100</v>
      </c>
      <c r="Q44">
        <f>IF($C$13=$O$50,LOOKUP($C$12,$AC$35:$AC$59,AG35:AG53),IF($C$13=$O$51,LOOKUP($C$12,$AC$35:$AC$59,AL35:AL53),IF($C$13=$O$52,LOOKUP($C$12,$AC$35:$AC$59,AQ35:AQ53))))</f>
        <v>6.2</v>
      </c>
      <c r="S44" s="22"/>
      <c r="T44" s="22">
        <v>10</v>
      </c>
      <c r="U44" s="19">
        <v>3.7</v>
      </c>
      <c r="V44" s="19">
        <v>1.6</v>
      </c>
      <c r="W44" s="19">
        <v>0.7</v>
      </c>
      <c r="X44" s="33">
        <v>0</v>
      </c>
      <c r="Y44" s="19">
        <v>0</v>
      </c>
      <c r="Z44" s="19">
        <v>0</v>
      </c>
      <c r="AA44" s="19">
        <v>0</v>
      </c>
      <c r="AB44" s="22"/>
      <c r="AC44">
        <v>45</v>
      </c>
      <c r="AD44" s="5"/>
      <c r="AE44" s="5">
        <v>8</v>
      </c>
      <c r="AF44" s="5">
        <v>7.25</v>
      </c>
      <c r="AG44" s="5">
        <v>6.65</v>
      </c>
      <c r="AH44" s="19">
        <v>6.05</v>
      </c>
      <c r="AJ44" s="19">
        <v>6.5</v>
      </c>
      <c r="AK44" s="19">
        <v>5.3</v>
      </c>
      <c r="AL44" s="19">
        <v>3.6</v>
      </c>
      <c r="AM44" s="5">
        <v>4.1</v>
      </c>
      <c r="AN44" s="5"/>
      <c r="AO44" s="5">
        <v>13</v>
      </c>
      <c r="AP44" s="5">
        <v>14.5</v>
      </c>
      <c r="AQ44" s="5">
        <v>13.5</v>
      </c>
      <c r="AR44" s="5">
        <v>13.5</v>
      </c>
      <c r="AS44" s="24">
        <v>45</v>
      </c>
    </row>
    <row r="45" spans="14:45" ht="12.75">
      <c r="N45" t="s">
        <v>5</v>
      </c>
      <c r="O45" t="s">
        <v>61</v>
      </c>
      <c r="P45">
        <v>75</v>
      </c>
      <c r="Q45">
        <f>IF($C$13=$O$50,LOOKUP($C$12,$AC$35:$AC$59,AF35:AF50),IF($C$13=$O$51,LOOKUP($C$12,$AC$35:$AC$59,AK35:AK50),IF($C$13=$O$52,LOOKUP($C$12,$AC$35:$AC$59,AP35:AP50))))</f>
        <v>6.2</v>
      </c>
      <c r="S45" s="22"/>
      <c r="T45" s="22">
        <v>11</v>
      </c>
      <c r="U45" s="19">
        <v>4.4</v>
      </c>
      <c r="V45" s="19">
        <v>1.9</v>
      </c>
      <c r="W45" s="19">
        <v>0.8</v>
      </c>
      <c r="X45" s="33">
        <v>0</v>
      </c>
      <c r="Y45" s="19">
        <v>0</v>
      </c>
      <c r="Z45" s="19">
        <v>0</v>
      </c>
      <c r="AA45" s="19">
        <v>0</v>
      </c>
      <c r="AB45" s="22"/>
      <c r="AC45">
        <v>50</v>
      </c>
      <c r="AD45" s="5"/>
      <c r="AE45" s="5">
        <v>8.85</v>
      </c>
      <c r="AF45" s="5">
        <v>7.5</v>
      </c>
      <c r="AG45" s="5">
        <v>6.75</v>
      </c>
      <c r="AH45" s="19">
        <v>6</v>
      </c>
      <c r="AJ45" s="19">
        <v>7.3</v>
      </c>
      <c r="AK45" s="19">
        <v>5.7</v>
      </c>
      <c r="AL45" s="19">
        <v>3.8</v>
      </c>
      <c r="AM45" s="5">
        <v>4.2</v>
      </c>
      <c r="AN45" s="5"/>
      <c r="AO45" s="5">
        <v>13.75</v>
      </c>
      <c r="AP45" s="5">
        <v>14.75</v>
      </c>
      <c r="AQ45" s="5">
        <v>13.5</v>
      </c>
      <c r="AR45" s="5">
        <v>13.3</v>
      </c>
      <c r="AS45" s="24">
        <v>50</v>
      </c>
    </row>
    <row r="46" spans="14:45" ht="12.75">
      <c r="N46" t="s">
        <v>61</v>
      </c>
      <c r="O46" t="s">
        <v>5</v>
      </c>
      <c r="P46">
        <v>50</v>
      </c>
      <c r="Q46">
        <f>IF($C$13=$O$50,LOOKUP($C$12,$AC$35:$AC$59,AE35:AE45),IF($C$13=$O$51,LOOKUP($C$12,$AC$35:$AC$59,AJ35:AJ45),IF($C$13=$O$52,LOOKUP($C$12,$AC$35:$AC$59,AO35:AO45))))</f>
        <v>5.5</v>
      </c>
      <c r="S46" s="22"/>
      <c r="T46" s="22">
        <v>12</v>
      </c>
      <c r="U46" s="19">
        <v>5.1</v>
      </c>
      <c r="V46" s="19">
        <v>2.2</v>
      </c>
      <c r="W46" s="19">
        <v>0.9</v>
      </c>
      <c r="X46" s="33">
        <v>0</v>
      </c>
      <c r="Y46" s="19">
        <v>0</v>
      </c>
      <c r="Z46" s="19">
        <v>0</v>
      </c>
      <c r="AA46" s="19">
        <v>0</v>
      </c>
      <c r="AB46" s="22"/>
      <c r="AC46">
        <v>55</v>
      </c>
      <c r="AD46" s="5"/>
      <c r="AE46" s="5"/>
      <c r="AF46" s="5">
        <v>7.85</v>
      </c>
      <c r="AG46" s="5">
        <v>6.76</v>
      </c>
      <c r="AH46" s="19">
        <v>6</v>
      </c>
      <c r="AK46" s="19">
        <v>5.8</v>
      </c>
      <c r="AL46" s="19">
        <v>3.9</v>
      </c>
      <c r="AM46" s="5">
        <v>4.3</v>
      </c>
      <c r="AN46" s="5"/>
      <c r="AO46" s="5"/>
      <c r="AP46" s="5">
        <v>15</v>
      </c>
      <c r="AQ46" s="5">
        <v>13.6</v>
      </c>
      <c r="AR46" s="5">
        <v>13.3</v>
      </c>
      <c r="AS46" s="24">
        <v>55</v>
      </c>
    </row>
    <row r="47" spans="14:45" ht="12.75">
      <c r="N47" t="s">
        <v>56</v>
      </c>
      <c r="O47" t="s">
        <v>8</v>
      </c>
      <c r="P47">
        <v>155</v>
      </c>
      <c r="Q47">
        <f>IF($C$13=$O$50,LOOKUP($C$12,$AC$35:$AC$59,AH35:AH59),IF($C$13=$O$51,LOOKUP($C$12,$AC$35:$AC$59,AM35:AM59),IF($C$13=$O$52,LOOKUP($C$12,$AC$35:$AC$59,AR35:AR59))))</f>
        <v>6.2</v>
      </c>
      <c r="S47" s="22"/>
      <c r="T47" s="22">
        <v>13</v>
      </c>
      <c r="U47" s="19">
        <v>6.1</v>
      </c>
      <c r="V47" s="30">
        <v>2.6</v>
      </c>
      <c r="W47" s="19">
        <v>1</v>
      </c>
      <c r="X47" s="33">
        <v>0</v>
      </c>
      <c r="Y47" s="19">
        <v>0</v>
      </c>
      <c r="Z47" s="19">
        <v>0</v>
      </c>
      <c r="AA47" s="19">
        <v>0</v>
      </c>
      <c r="AB47" s="22"/>
      <c r="AC47">
        <v>60</v>
      </c>
      <c r="AD47" s="5"/>
      <c r="AE47" s="5"/>
      <c r="AF47" s="5">
        <v>8</v>
      </c>
      <c r="AG47" s="5">
        <v>6.8</v>
      </c>
      <c r="AH47" s="19">
        <v>6</v>
      </c>
      <c r="AK47" s="19">
        <v>6</v>
      </c>
      <c r="AL47" s="19">
        <v>4</v>
      </c>
      <c r="AM47" s="5">
        <v>4.5</v>
      </c>
      <c r="AN47" s="5"/>
      <c r="AO47" s="5"/>
      <c r="AP47" s="5">
        <v>15.25</v>
      </c>
      <c r="AQ47" s="5">
        <v>13.7</v>
      </c>
      <c r="AR47" s="5">
        <v>13.3</v>
      </c>
      <c r="AS47" s="24">
        <v>60</v>
      </c>
    </row>
    <row r="48" spans="14:45" ht="12.75">
      <c r="N48" t="s">
        <v>66</v>
      </c>
      <c r="O48" t="s">
        <v>42</v>
      </c>
      <c r="P48">
        <v>30</v>
      </c>
      <c r="Q48">
        <f>IF($C$13=$O$50,LOOKUP($C$12,$AC$35:$AC$59,AD35:AD41),IF($C$13=$O$51,LOOKUP($C$12,$AC$35:$AC$59,AI35:AI41),IF($C$13=$O$52,LOOKUP($C$12,$AC$35:$AC$59,AN35:AN41))))</f>
        <v>6.5</v>
      </c>
      <c r="S48" s="22"/>
      <c r="T48" s="22">
        <v>14</v>
      </c>
      <c r="U48" s="19">
        <v>7.2</v>
      </c>
      <c r="V48" s="19">
        <v>3.1</v>
      </c>
      <c r="W48" s="19">
        <v>1.1</v>
      </c>
      <c r="X48" s="33">
        <v>0</v>
      </c>
      <c r="Y48" s="19">
        <v>0</v>
      </c>
      <c r="Z48" s="19">
        <v>0</v>
      </c>
      <c r="AA48" s="19">
        <v>0</v>
      </c>
      <c r="AB48" s="22"/>
      <c r="AC48">
        <v>65</v>
      </c>
      <c r="AD48" s="5"/>
      <c r="AE48" s="5"/>
      <c r="AF48" s="5">
        <v>8.1</v>
      </c>
      <c r="AG48" s="5">
        <v>6.85</v>
      </c>
      <c r="AH48" s="19">
        <v>6.01</v>
      </c>
      <c r="AK48" s="19">
        <v>6.3</v>
      </c>
      <c r="AL48" s="19">
        <v>4.1</v>
      </c>
      <c r="AM48" s="5">
        <v>4.6</v>
      </c>
      <c r="AN48" s="5"/>
      <c r="AO48" s="5"/>
      <c r="AP48" s="5">
        <v>15.5</v>
      </c>
      <c r="AQ48" s="5">
        <v>13.8</v>
      </c>
      <c r="AR48" s="5">
        <v>13.2</v>
      </c>
      <c r="AS48" s="24">
        <v>65</v>
      </c>
    </row>
    <row r="49" spans="19:45" ht="12.75">
      <c r="S49" s="22"/>
      <c r="T49" s="22">
        <v>15</v>
      </c>
      <c r="U49" s="19">
        <v>8.3</v>
      </c>
      <c r="V49" s="19">
        <v>3.6</v>
      </c>
      <c r="W49" s="19">
        <v>1.2</v>
      </c>
      <c r="X49" s="33">
        <v>0</v>
      </c>
      <c r="Y49" s="19">
        <v>0</v>
      </c>
      <c r="Z49" s="19">
        <v>0</v>
      </c>
      <c r="AA49" s="19">
        <v>0</v>
      </c>
      <c r="AB49" s="22"/>
      <c r="AC49">
        <v>70</v>
      </c>
      <c r="AD49" s="5"/>
      <c r="AE49" s="5"/>
      <c r="AF49" s="5">
        <v>8.5</v>
      </c>
      <c r="AG49" s="5">
        <v>6.9</v>
      </c>
      <c r="AH49" s="19">
        <v>6.05</v>
      </c>
      <c r="AK49" s="19">
        <v>6.6</v>
      </c>
      <c r="AL49" s="19">
        <v>4.2</v>
      </c>
      <c r="AM49" s="5">
        <v>4.8</v>
      </c>
      <c r="AN49" s="5"/>
      <c r="AO49" s="5"/>
      <c r="AP49" s="5">
        <v>15.75</v>
      </c>
      <c r="AQ49" s="5">
        <v>13.9</v>
      </c>
      <c r="AR49" s="5">
        <v>13.2</v>
      </c>
      <c r="AS49" s="24">
        <v>70</v>
      </c>
    </row>
    <row r="50" spans="15:45" ht="12.75">
      <c r="O50" t="s">
        <v>67</v>
      </c>
      <c r="S50" s="22"/>
      <c r="T50" s="22">
        <v>16</v>
      </c>
      <c r="U50" s="19">
        <v>9.4</v>
      </c>
      <c r="V50" s="19">
        <v>4.1</v>
      </c>
      <c r="W50" s="19">
        <v>1.4</v>
      </c>
      <c r="X50" s="34">
        <v>0.4</v>
      </c>
      <c r="Y50" s="19">
        <v>0</v>
      </c>
      <c r="Z50" s="19">
        <v>0</v>
      </c>
      <c r="AA50" s="19">
        <v>0</v>
      </c>
      <c r="AB50" s="22"/>
      <c r="AC50">
        <v>75</v>
      </c>
      <c r="AD50" s="5"/>
      <c r="AE50" s="5"/>
      <c r="AF50" s="5">
        <v>9</v>
      </c>
      <c r="AG50" s="5">
        <v>7</v>
      </c>
      <c r="AH50" s="19">
        <v>6.1</v>
      </c>
      <c r="AK50" s="19">
        <v>7</v>
      </c>
      <c r="AL50" s="19">
        <v>4.3</v>
      </c>
      <c r="AM50" s="5">
        <v>4.9</v>
      </c>
      <c r="AN50" s="5"/>
      <c r="AO50" s="5"/>
      <c r="AP50" s="5">
        <v>16</v>
      </c>
      <c r="AQ50" s="5">
        <v>14</v>
      </c>
      <c r="AR50" s="5">
        <v>13.2</v>
      </c>
      <c r="AS50" s="24">
        <v>75</v>
      </c>
    </row>
    <row r="51" spans="15:45" ht="12.75">
      <c r="O51" t="s">
        <v>69</v>
      </c>
      <c r="T51" s="22">
        <v>17</v>
      </c>
      <c r="U51" s="19">
        <v>10.7</v>
      </c>
      <c r="V51" s="19">
        <v>4.6</v>
      </c>
      <c r="W51" s="19">
        <v>1.6</v>
      </c>
      <c r="X51" s="34">
        <v>0.5</v>
      </c>
      <c r="Y51" s="19">
        <v>0</v>
      </c>
      <c r="Z51" s="19">
        <v>0</v>
      </c>
      <c r="AA51" s="19">
        <v>0</v>
      </c>
      <c r="AB51" s="22"/>
      <c r="AC51">
        <v>80</v>
      </c>
      <c r="AD51" s="5"/>
      <c r="AE51" s="5"/>
      <c r="AF51" s="5"/>
      <c r="AG51" s="5">
        <v>7.2</v>
      </c>
      <c r="AH51" s="19">
        <v>6.15</v>
      </c>
      <c r="AK51" s="5"/>
      <c r="AL51" s="19">
        <v>4.5</v>
      </c>
      <c r="AM51" s="5">
        <v>5</v>
      </c>
      <c r="AN51" s="5"/>
      <c r="AO51" s="5"/>
      <c r="AP51" s="5"/>
      <c r="AQ51" s="5">
        <v>14.33</v>
      </c>
      <c r="AR51" s="5">
        <v>13.3</v>
      </c>
      <c r="AS51" s="24">
        <v>80</v>
      </c>
    </row>
    <row r="52" spans="15:45" ht="12.75">
      <c r="O52" t="s">
        <v>68</v>
      </c>
      <c r="T52" s="22">
        <v>18</v>
      </c>
      <c r="U52" s="19">
        <v>12</v>
      </c>
      <c r="V52" s="19">
        <v>5.2</v>
      </c>
      <c r="W52" s="19">
        <v>1.8</v>
      </c>
      <c r="X52" s="34">
        <v>0.6</v>
      </c>
      <c r="Y52" s="19">
        <v>0</v>
      </c>
      <c r="Z52" s="19">
        <v>0</v>
      </c>
      <c r="AA52" s="19">
        <v>0</v>
      </c>
      <c r="AB52" s="22"/>
      <c r="AC52">
        <v>90</v>
      </c>
      <c r="AD52" s="5"/>
      <c r="AE52" s="5"/>
      <c r="AF52" s="5"/>
      <c r="AG52" s="5">
        <v>7.5</v>
      </c>
      <c r="AH52" s="19">
        <v>6.4</v>
      </c>
      <c r="AK52" s="5"/>
      <c r="AL52" s="19">
        <v>4.9</v>
      </c>
      <c r="AM52" s="5">
        <v>5.2</v>
      </c>
      <c r="AN52" s="5"/>
      <c r="AO52" s="5"/>
      <c r="AP52" s="5"/>
      <c r="AQ52" s="5">
        <v>14.66</v>
      </c>
      <c r="AR52" s="5">
        <v>13.4</v>
      </c>
      <c r="AS52" s="24">
        <v>90</v>
      </c>
    </row>
    <row r="53" spans="20:45" ht="12.75">
      <c r="T53" s="22">
        <v>19</v>
      </c>
      <c r="U53" s="19">
        <v>13.4</v>
      </c>
      <c r="V53" s="19">
        <v>5.8</v>
      </c>
      <c r="W53" s="19">
        <v>2</v>
      </c>
      <c r="X53" s="34">
        <v>0.7</v>
      </c>
      <c r="Y53" s="19">
        <v>0</v>
      </c>
      <c r="Z53" s="19">
        <v>0</v>
      </c>
      <c r="AA53" s="19">
        <v>0</v>
      </c>
      <c r="AB53" s="22"/>
      <c r="AC53">
        <v>100</v>
      </c>
      <c r="AD53" s="5"/>
      <c r="AE53" s="5"/>
      <c r="AF53" s="5"/>
      <c r="AG53" s="5">
        <v>8</v>
      </c>
      <c r="AH53" s="19">
        <v>6.5</v>
      </c>
      <c r="AK53" s="5"/>
      <c r="AL53" s="19">
        <v>5</v>
      </c>
      <c r="AM53" s="5">
        <v>5.4</v>
      </c>
      <c r="AN53" s="5"/>
      <c r="AO53" s="5"/>
      <c r="AP53" s="5"/>
      <c r="AQ53" s="5">
        <v>15</v>
      </c>
      <c r="AR53" s="5">
        <v>13.5</v>
      </c>
      <c r="AS53" s="24">
        <v>100</v>
      </c>
    </row>
    <row r="54" spans="20:45" ht="12.75">
      <c r="T54" s="22">
        <v>20</v>
      </c>
      <c r="U54" s="19">
        <v>15</v>
      </c>
      <c r="V54" s="19">
        <v>6.5</v>
      </c>
      <c r="W54" s="19">
        <v>2.2</v>
      </c>
      <c r="X54" s="34">
        <v>0.8</v>
      </c>
      <c r="Y54" s="19">
        <v>0</v>
      </c>
      <c r="Z54" s="19">
        <v>0</v>
      </c>
      <c r="AA54" s="19">
        <v>0</v>
      </c>
      <c r="AB54" s="22"/>
      <c r="AC54">
        <v>110</v>
      </c>
      <c r="AD54" s="5"/>
      <c r="AE54" s="5"/>
      <c r="AF54" s="5"/>
      <c r="AG54" s="5"/>
      <c r="AH54" s="19">
        <v>6.85</v>
      </c>
      <c r="AK54" s="5"/>
      <c r="AL54" s="5"/>
      <c r="AM54" s="5">
        <v>5.6</v>
      </c>
      <c r="AN54" s="5"/>
      <c r="AO54" s="5"/>
      <c r="AP54" s="5"/>
      <c r="AQ54" s="5"/>
      <c r="AR54" s="5">
        <v>13.75</v>
      </c>
      <c r="AS54" s="24">
        <v>110</v>
      </c>
    </row>
    <row r="55" spans="20:45" ht="12.75">
      <c r="T55" s="22">
        <v>22</v>
      </c>
      <c r="U55" s="19"/>
      <c r="V55" s="19">
        <v>7.9</v>
      </c>
      <c r="W55" s="19">
        <v>2.8</v>
      </c>
      <c r="X55" s="34">
        <v>1</v>
      </c>
      <c r="Y55" s="19">
        <v>0</v>
      </c>
      <c r="Z55" s="19">
        <v>0</v>
      </c>
      <c r="AA55" s="19">
        <v>0</v>
      </c>
      <c r="AB55" s="22"/>
      <c r="AC55">
        <v>120</v>
      </c>
      <c r="AD55" s="5"/>
      <c r="AE55" s="5"/>
      <c r="AF55" s="5"/>
      <c r="AG55" s="5"/>
      <c r="AH55" s="19">
        <v>7</v>
      </c>
      <c r="AK55" s="5"/>
      <c r="AL55" s="5"/>
      <c r="AM55" s="5">
        <v>5.75</v>
      </c>
      <c r="AN55" s="5"/>
      <c r="AO55" s="5"/>
      <c r="AP55" s="5"/>
      <c r="AQ55" s="5"/>
      <c r="AR55" s="5">
        <v>14</v>
      </c>
      <c r="AS55" s="24">
        <v>120</v>
      </c>
    </row>
    <row r="56" spans="20:45" ht="12.75">
      <c r="T56" s="22">
        <v>24</v>
      </c>
      <c r="U56" s="19"/>
      <c r="V56" s="19">
        <v>9.5</v>
      </c>
      <c r="W56" s="19">
        <v>3.4</v>
      </c>
      <c r="X56" s="34">
        <v>1.2</v>
      </c>
      <c r="Y56" s="19">
        <v>0</v>
      </c>
      <c r="Z56" s="19">
        <v>0</v>
      </c>
      <c r="AA56" s="19">
        <v>0</v>
      </c>
      <c r="AB56" s="22"/>
      <c r="AC56">
        <v>130</v>
      </c>
      <c r="AD56" s="5"/>
      <c r="AE56" s="5"/>
      <c r="AF56" s="5"/>
      <c r="AG56" s="5"/>
      <c r="AH56" s="19">
        <v>7.3</v>
      </c>
      <c r="AK56" s="5"/>
      <c r="AL56" s="5"/>
      <c r="AM56" s="5">
        <v>6</v>
      </c>
      <c r="AN56" s="5"/>
      <c r="AO56" s="5"/>
      <c r="AP56" s="5"/>
      <c r="AQ56" s="5"/>
      <c r="AR56" s="5">
        <v>14.25</v>
      </c>
      <c r="AS56" s="24">
        <v>130</v>
      </c>
    </row>
    <row r="57" spans="20:45" ht="12.75">
      <c r="T57" s="22">
        <v>26</v>
      </c>
      <c r="U57" s="19"/>
      <c r="V57" s="19">
        <v>11.2</v>
      </c>
      <c r="W57" s="19">
        <v>4</v>
      </c>
      <c r="X57" s="34">
        <v>1.4</v>
      </c>
      <c r="Y57" s="19">
        <v>0</v>
      </c>
      <c r="Z57" s="19">
        <v>0</v>
      </c>
      <c r="AA57" s="19">
        <v>0</v>
      </c>
      <c r="AB57" s="22"/>
      <c r="AC57">
        <v>140</v>
      </c>
      <c r="AD57" s="5"/>
      <c r="AE57" s="5"/>
      <c r="AF57" s="5"/>
      <c r="AG57" s="5"/>
      <c r="AH57" s="19">
        <v>7.8</v>
      </c>
      <c r="AK57" s="5"/>
      <c r="AL57" s="5"/>
      <c r="AM57" s="5">
        <v>6.1</v>
      </c>
      <c r="AN57" s="5"/>
      <c r="AO57" s="5"/>
      <c r="AP57" s="5"/>
      <c r="AQ57" s="5"/>
      <c r="AR57" s="5">
        <v>14.5</v>
      </c>
      <c r="AS57" s="24">
        <v>140</v>
      </c>
    </row>
    <row r="58" spans="20:45" ht="12.75">
      <c r="T58" s="22">
        <v>28</v>
      </c>
      <c r="U58" s="19"/>
      <c r="V58" s="19">
        <v>13</v>
      </c>
      <c r="W58" s="19">
        <v>4.6</v>
      </c>
      <c r="X58" s="34">
        <v>1.6</v>
      </c>
      <c r="Y58" s="19">
        <v>0</v>
      </c>
      <c r="Z58" s="19">
        <v>0</v>
      </c>
      <c r="AA58" s="19">
        <v>0</v>
      </c>
      <c r="AB58" s="22"/>
      <c r="AC58">
        <v>150</v>
      </c>
      <c r="AD58" s="5"/>
      <c r="AE58" s="5"/>
      <c r="AF58" s="5"/>
      <c r="AG58" s="5"/>
      <c r="AH58" s="19">
        <v>8.1</v>
      </c>
      <c r="AK58" s="5"/>
      <c r="AL58" s="5"/>
      <c r="AM58" s="5">
        <v>6.2</v>
      </c>
      <c r="AN58" s="5"/>
      <c r="AO58" s="5"/>
      <c r="AP58" s="5"/>
      <c r="AQ58" s="5"/>
      <c r="AR58" s="5">
        <v>14.75</v>
      </c>
      <c r="AS58" s="24">
        <v>150</v>
      </c>
    </row>
    <row r="59" spans="20:45" ht="12.75">
      <c r="T59" s="22">
        <v>30</v>
      </c>
      <c r="U59" s="19"/>
      <c r="V59" s="30">
        <v>15</v>
      </c>
      <c r="W59" s="19">
        <v>5.3</v>
      </c>
      <c r="X59" s="34">
        <v>1.8</v>
      </c>
      <c r="Y59" s="19">
        <v>0</v>
      </c>
      <c r="Z59" s="19">
        <v>0</v>
      </c>
      <c r="AA59" s="19">
        <v>0</v>
      </c>
      <c r="AB59" s="22"/>
      <c r="AC59">
        <v>160</v>
      </c>
      <c r="AD59" s="5"/>
      <c r="AE59" s="5"/>
      <c r="AF59" s="5"/>
      <c r="AG59" s="5"/>
      <c r="AH59" s="19">
        <v>8.5</v>
      </c>
      <c r="AK59" s="5"/>
      <c r="AL59" s="5"/>
      <c r="AM59" s="5">
        <v>6.5</v>
      </c>
      <c r="AN59" s="5"/>
      <c r="AO59" s="5"/>
      <c r="AP59" s="5"/>
      <c r="AQ59" s="5"/>
      <c r="AR59" s="5">
        <v>15</v>
      </c>
      <c r="AS59" s="24">
        <v>160</v>
      </c>
    </row>
    <row r="60" spans="20:44" ht="12.75">
      <c r="T60" s="22">
        <v>32</v>
      </c>
      <c r="U60" s="19"/>
      <c r="V60" s="19"/>
      <c r="W60" s="19">
        <v>6</v>
      </c>
      <c r="X60" s="34">
        <v>2.1</v>
      </c>
      <c r="Y60" s="19">
        <v>0.8</v>
      </c>
      <c r="Z60" s="19">
        <v>0</v>
      </c>
      <c r="AA60" s="19">
        <v>0</v>
      </c>
      <c r="AB60" s="22"/>
      <c r="AD60" s="5"/>
      <c r="AE60" s="5"/>
      <c r="AF60" s="5"/>
      <c r="AG60" s="5"/>
      <c r="AH60" s="19"/>
      <c r="AN60" s="5"/>
      <c r="AO60" s="5"/>
      <c r="AP60" s="5"/>
      <c r="AQ60" s="5"/>
      <c r="AR60" s="5"/>
    </row>
    <row r="61" spans="20:34" ht="12.75">
      <c r="T61" s="22">
        <v>34</v>
      </c>
      <c r="U61" s="19"/>
      <c r="V61" s="19"/>
      <c r="W61" s="19">
        <v>6.9</v>
      </c>
      <c r="X61" s="34">
        <v>2.4</v>
      </c>
      <c r="Y61" s="19">
        <v>0.9</v>
      </c>
      <c r="Z61" s="19">
        <v>0</v>
      </c>
      <c r="AA61" s="19">
        <v>0</v>
      </c>
      <c r="AB61" s="22"/>
      <c r="AD61" s="5"/>
      <c r="AE61" s="5"/>
      <c r="AF61" s="5"/>
      <c r="AG61" s="5"/>
      <c r="AH61" s="19"/>
    </row>
    <row r="62" spans="20:34" ht="12.75">
      <c r="T62" s="22">
        <v>36</v>
      </c>
      <c r="U62" s="19"/>
      <c r="V62" s="19"/>
      <c r="W62" s="19">
        <v>7.8</v>
      </c>
      <c r="X62" s="34">
        <v>2.7</v>
      </c>
      <c r="Y62" s="19">
        <v>1</v>
      </c>
      <c r="Z62" s="19">
        <v>0</v>
      </c>
      <c r="AA62" s="19">
        <v>0</v>
      </c>
      <c r="AB62" s="22"/>
      <c r="AD62" s="5"/>
      <c r="AE62" s="5"/>
      <c r="AF62" s="5"/>
      <c r="AG62" s="5"/>
      <c r="AH62" s="19"/>
    </row>
    <row r="63" spans="20:34" ht="12.75">
      <c r="T63" s="22">
        <v>38</v>
      </c>
      <c r="U63" s="19"/>
      <c r="V63" s="19"/>
      <c r="W63" s="19">
        <v>8.7</v>
      </c>
      <c r="X63" s="34">
        <v>3</v>
      </c>
      <c r="Y63" s="19">
        <v>1.2</v>
      </c>
      <c r="Z63" s="19">
        <v>0</v>
      </c>
      <c r="AA63" s="19">
        <v>0</v>
      </c>
      <c r="AB63" s="22"/>
      <c r="AD63" s="5"/>
      <c r="AE63" s="5"/>
      <c r="AF63" s="5"/>
      <c r="AG63" s="5"/>
      <c r="AH63" s="19"/>
    </row>
    <row r="64" spans="20:33" ht="12.75">
      <c r="T64" s="22">
        <v>40</v>
      </c>
      <c r="U64" s="19"/>
      <c r="V64" s="19"/>
      <c r="W64" s="19">
        <v>9.6</v>
      </c>
      <c r="X64" s="34">
        <v>3.3</v>
      </c>
      <c r="Y64" s="19">
        <v>1.3</v>
      </c>
      <c r="Z64" s="19">
        <v>0</v>
      </c>
      <c r="AA64" s="19">
        <v>0</v>
      </c>
      <c r="AB64" s="22"/>
      <c r="AC64" s="22"/>
      <c r="AD64" s="22"/>
      <c r="AE64" s="22"/>
      <c r="AF64" s="22"/>
      <c r="AG64" s="22"/>
    </row>
    <row r="65" spans="20:33" ht="12.75">
      <c r="T65" s="22">
        <v>42</v>
      </c>
      <c r="U65" s="19"/>
      <c r="V65" s="19"/>
      <c r="W65" s="19">
        <v>10.6</v>
      </c>
      <c r="X65" s="34">
        <v>3.6</v>
      </c>
      <c r="Y65" s="19">
        <v>1.4</v>
      </c>
      <c r="Z65" s="19">
        <v>0</v>
      </c>
      <c r="AA65" s="19">
        <v>0</v>
      </c>
      <c r="AB65" s="22"/>
      <c r="AC65" s="22"/>
      <c r="AD65" s="22"/>
      <c r="AE65" s="22"/>
      <c r="AF65" s="22"/>
      <c r="AG65" s="22"/>
    </row>
    <row r="66" spans="20:33" ht="12.75">
      <c r="T66" s="22">
        <v>44</v>
      </c>
      <c r="U66" s="19"/>
      <c r="V66" s="19"/>
      <c r="W66" s="19">
        <v>11.7</v>
      </c>
      <c r="X66" s="34">
        <v>3.9</v>
      </c>
      <c r="Y66" s="19">
        <v>1.5</v>
      </c>
      <c r="Z66" s="19">
        <v>0</v>
      </c>
      <c r="AA66" s="19">
        <v>0</v>
      </c>
      <c r="AB66" s="22"/>
      <c r="AC66" s="22"/>
      <c r="AD66" s="22"/>
      <c r="AE66" s="22"/>
      <c r="AF66" s="22"/>
      <c r="AG66" s="22"/>
    </row>
    <row r="67" spans="20:33" ht="12.75">
      <c r="T67" s="22">
        <v>46</v>
      </c>
      <c r="U67" s="19"/>
      <c r="V67" s="19"/>
      <c r="W67" s="19">
        <v>12.8</v>
      </c>
      <c r="X67" s="34">
        <v>4.2</v>
      </c>
      <c r="Y67" s="19">
        <v>1.6</v>
      </c>
      <c r="Z67" s="19">
        <v>0</v>
      </c>
      <c r="AA67" s="19">
        <v>0</v>
      </c>
      <c r="AB67" s="22"/>
      <c r="AC67" s="22"/>
      <c r="AD67" s="22"/>
      <c r="AE67" s="22"/>
      <c r="AF67" s="22"/>
      <c r="AG67" s="22"/>
    </row>
    <row r="68" spans="20:33" ht="12.75">
      <c r="T68" s="22">
        <v>48</v>
      </c>
      <c r="U68" s="19"/>
      <c r="V68" s="19"/>
      <c r="W68" s="19">
        <v>13.9</v>
      </c>
      <c r="X68" s="34">
        <v>4.5</v>
      </c>
      <c r="Y68" s="19">
        <v>1.7</v>
      </c>
      <c r="Z68" s="19">
        <v>0</v>
      </c>
      <c r="AA68" s="19">
        <v>0</v>
      </c>
      <c r="AB68" s="22"/>
      <c r="AC68" s="22"/>
      <c r="AD68" s="22"/>
      <c r="AE68" s="22"/>
      <c r="AF68" s="22"/>
      <c r="AG68" s="22"/>
    </row>
    <row r="69" spans="20:33" ht="12.75">
      <c r="T69" s="22">
        <v>50</v>
      </c>
      <c r="U69" s="19"/>
      <c r="V69" s="19"/>
      <c r="W69" s="19">
        <v>15</v>
      </c>
      <c r="X69" s="34">
        <v>4.9</v>
      </c>
      <c r="Y69" s="19">
        <v>1.9</v>
      </c>
      <c r="Z69" s="19">
        <v>0.7</v>
      </c>
      <c r="AA69" s="19">
        <v>0</v>
      </c>
      <c r="AB69" s="22"/>
      <c r="AC69" s="22"/>
      <c r="AD69" s="22"/>
      <c r="AE69" s="22"/>
      <c r="AF69" s="22"/>
      <c r="AG69" s="22"/>
    </row>
    <row r="70" spans="20:33" ht="12.75">
      <c r="T70" s="22">
        <v>52</v>
      </c>
      <c r="U70" s="19"/>
      <c r="V70" s="19"/>
      <c r="W70" s="19"/>
      <c r="X70" s="34">
        <v>5.3</v>
      </c>
      <c r="Y70" s="19">
        <v>2.1</v>
      </c>
      <c r="Z70" s="19">
        <v>0.75</v>
      </c>
      <c r="AA70" s="19">
        <v>0</v>
      </c>
      <c r="AB70" s="22"/>
      <c r="AC70" s="22"/>
      <c r="AD70" s="22"/>
      <c r="AE70" s="22"/>
      <c r="AF70" s="22"/>
      <c r="AG70" s="22"/>
    </row>
    <row r="71" spans="20:33" ht="12.75">
      <c r="T71" s="22">
        <v>54</v>
      </c>
      <c r="U71" s="19"/>
      <c r="V71" s="19"/>
      <c r="W71" s="19"/>
      <c r="X71" s="34">
        <v>5.7</v>
      </c>
      <c r="Y71" s="19">
        <v>2.2</v>
      </c>
      <c r="Z71" s="19">
        <v>0.8</v>
      </c>
      <c r="AA71" s="19">
        <v>0</v>
      </c>
      <c r="AB71" s="22"/>
      <c r="AC71" s="22"/>
      <c r="AD71" s="22"/>
      <c r="AE71" s="22"/>
      <c r="AF71" s="22"/>
      <c r="AG71" s="22"/>
    </row>
    <row r="72" spans="20:33" ht="12.75">
      <c r="T72" s="22">
        <v>56</v>
      </c>
      <c r="U72" s="19"/>
      <c r="V72" s="19"/>
      <c r="W72" s="19"/>
      <c r="X72" s="34">
        <v>6.2</v>
      </c>
      <c r="Y72" s="19">
        <v>2.3</v>
      </c>
      <c r="Z72" s="19">
        <v>0.85</v>
      </c>
      <c r="AA72" s="19">
        <v>0</v>
      </c>
      <c r="AB72" s="22"/>
      <c r="AC72" s="22"/>
      <c r="AD72" s="22"/>
      <c r="AE72" s="22"/>
      <c r="AF72" s="22"/>
      <c r="AG72" s="22"/>
    </row>
    <row r="73" spans="20:33" ht="12.75">
      <c r="T73" s="22">
        <v>58</v>
      </c>
      <c r="U73" s="19"/>
      <c r="V73" s="19"/>
      <c r="W73" s="19"/>
      <c r="X73" s="34">
        <v>6.7</v>
      </c>
      <c r="Y73" s="19">
        <v>2.5</v>
      </c>
      <c r="Z73" s="19">
        <v>0.9</v>
      </c>
      <c r="AA73" s="19">
        <v>0</v>
      </c>
      <c r="AB73" s="22"/>
      <c r="AC73" s="22"/>
      <c r="AD73" s="22"/>
      <c r="AE73" s="22"/>
      <c r="AF73" s="22"/>
      <c r="AG73" s="22"/>
    </row>
    <row r="74" spans="20:33" ht="12.75">
      <c r="T74" s="22">
        <v>60</v>
      </c>
      <c r="U74" s="19"/>
      <c r="V74" s="19"/>
      <c r="W74" s="19"/>
      <c r="X74" s="34">
        <v>7.2</v>
      </c>
      <c r="Y74" s="19">
        <v>2.7</v>
      </c>
      <c r="Z74" s="19">
        <v>1</v>
      </c>
      <c r="AA74" s="19">
        <v>0</v>
      </c>
      <c r="AB74" s="22"/>
      <c r="AC74" s="22"/>
      <c r="AD74" s="22"/>
      <c r="AE74" s="22"/>
      <c r="AF74" s="22"/>
      <c r="AG74" s="22"/>
    </row>
    <row r="75" spans="20:33" ht="12.75">
      <c r="T75" s="22">
        <v>65</v>
      </c>
      <c r="U75" s="19"/>
      <c r="V75" s="19"/>
      <c r="W75" s="19"/>
      <c r="X75" s="34">
        <v>8.3</v>
      </c>
      <c r="Y75" s="19">
        <v>3.2</v>
      </c>
      <c r="Z75" s="19">
        <v>1.1</v>
      </c>
      <c r="AA75" s="19">
        <v>0</v>
      </c>
      <c r="AB75" s="22"/>
      <c r="AC75" s="22"/>
      <c r="AD75" s="22"/>
      <c r="AE75" s="22"/>
      <c r="AF75" s="22"/>
      <c r="AG75" s="22"/>
    </row>
    <row r="76" spans="20:33" ht="12.75">
      <c r="T76" s="22">
        <v>70</v>
      </c>
      <c r="U76" s="19"/>
      <c r="V76" s="19"/>
      <c r="W76" s="19"/>
      <c r="X76" s="34">
        <v>9.8</v>
      </c>
      <c r="Y76" s="19">
        <v>3.7</v>
      </c>
      <c r="Z76" s="19">
        <v>1.3</v>
      </c>
      <c r="AA76" s="19">
        <v>0</v>
      </c>
      <c r="AB76" s="22"/>
      <c r="AC76" s="22"/>
      <c r="AD76" s="22"/>
      <c r="AE76" s="22"/>
      <c r="AF76" s="22"/>
      <c r="AG76" s="22"/>
    </row>
    <row r="77" spans="20:33" ht="12.75">
      <c r="T77" s="22">
        <v>75</v>
      </c>
      <c r="U77" s="19"/>
      <c r="V77" s="19"/>
      <c r="W77" s="19"/>
      <c r="X77" s="34">
        <v>11.2</v>
      </c>
      <c r="Y77" s="19">
        <v>4.3</v>
      </c>
      <c r="Z77" s="19">
        <v>1.5</v>
      </c>
      <c r="AA77" s="19">
        <v>0</v>
      </c>
      <c r="AB77" s="22"/>
      <c r="AC77" s="22"/>
      <c r="AD77" s="22"/>
      <c r="AE77" s="22"/>
      <c r="AF77" s="22"/>
      <c r="AG77" s="22"/>
    </row>
    <row r="78" spans="20:33" ht="12.75">
      <c r="T78" s="22">
        <v>80</v>
      </c>
      <c r="U78" s="19"/>
      <c r="V78" s="19"/>
      <c r="W78" s="19"/>
      <c r="X78" s="34">
        <v>12.8</v>
      </c>
      <c r="Y78" s="19">
        <v>4.9</v>
      </c>
      <c r="Z78" s="19">
        <v>1.6</v>
      </c>
      <c r="AA78" s="19">
        <v>0.7</v>
      </c>
      <c r="AB78" s="22"/>
      <c r="AC78" s="22"/>
      <c r="AD78" s="22"/>
      <c r="AE78" s="22"/>
      <c r="AF78" s="22"/>
      <c r="AG78" s="22"/>
    </row>
    <row r="79" spans="20:33" ht="12.75">
      <c r="T79" s="22">
        <v>90</v>
      </c>
      <c r="U79" s="19"/>
      <c r="V79" s="19"/>
      <c r="W79" s="19"/>
      <c r="X79" s="34">
        <v>16.1</v>
      </c>
      <c r="Y79" s="19">
        <v>6.2</v>
      </c>
      <c r="Z79" s="19">
        <v>2</v>
      </c>
      <c r="AA79" s="19">
        <v>0.8</v>
      </c>
      <c r="AB79" s="22"/>
      <c r="AC79" s="22"/>
      <c r="AD79" s="22"/>
      <c r="AE79" s="22"/>
      <c r="AF79" s="22"/>
      <c r="AG79" s="22"/>
    </row>
    <row r="80" spans="20:33" ht="12.75">
      <c r="T80" s="22">
        <v>100</v>
      </c>
      <c r="U80" s="19"/>
      <c r="V80" s="19"/>
      <c r="W80" s="19"/>
      <c r="X80" s="34">
        <v>20</v>
      </c>
      <c r="Y80" s="19">
        <v>7.8</v>
      </c>
      <c r="Z80" s="19">
        <v>2.5</v>
      </c>
      <c r="AA80" s="19">
        <v>0.9</v>
      </c>
      <c r="AB80" s="22"/>
      <c r="AC80" s="22"/>
      <c r="AD80" s="22"/>
      <c r="AE80" s="22"/>
      <c r="AF80" s="22"/>
      <c r="AG80" s="22"/>
    </row>
    <row r="81" spans="15:33" ht="12.75">
      <c r="O81" s="5"/>
      <c r="P81" s="5"/>
      <c r="Q81" s="5"/>
      <c r="R81" s="5"/>
      <c r="S81" s="19"/>
      <c r="T81" s="22">
        <v>110</v>
      </c>
      <c r="U81" s="19"/>
      <c r="V81" s="19"/>
      <c r="W81" s="19"/>
      <c r="X81" s="34"/>
      <c r="Y81" s="19">
        <v>9.5</v>
      </c>
      <c r="Z81" s="19">
        <v>2.9</v>
      </c>
      <c r="AA81" s="19">
        <v>1</v>
      </c>
      <c r="AB81" s="22"/>
      <c r="AC81" s="22"/>
      <c r="AD81" s="22"/>
      <c r="AE81" s="22"/>
      <c r="AF81" s="22"/>
      <c r="AG81" s="22"/>
    </row>
    <row r="82" spans="15:33" ht="12.75">
      <c r="O82" s="5"/>
      <c r="P82" s="5"/>
      <c r="Q82" s="5"/>
      <c r="R82" s="5"/>
      <c r="S82" s="19"/>
      <c r="T82" s="22">
        <v>120</v>
      </c>
      <c r="U82" s="19"/>
      <c r="V82" s="19"/>
      <c r="W82" s="19"/>
      <c r="X82" s="34"/>
      <c r="Y82" s="19">
        <v>11.3</v>
      </c>
      <c r="Z82" s="19">
        <v>3.4</v>
      </c>
      <c r="AA82" s="19">
        <v>1.2</v>
      </c>
      <c r="AB82" s="22"/>
      <c r="AC82" s="22"/>
      <c r="AD82" s="22"/>
      <c r="AE82" s="22"/>
      <c r="AF82" s="22"/>
      <c r="AG82" s="22"/>
    </row>
    <row r="83" spans="15:33" ht="12.75">
      <c r="O83" s="5"/>
      <c r="P83" s="5"/>
      <c r="Q83" s="5"/>
      <c r="R83" s="5"/>
      <c r="S83" s="19"/>
      <c r="T83" s="22">
        <v>130</v>
      </c>
      <c r="U83" s="19"/>
      <c r="V83" s="19"/>
      <c r="W83" s="19"/>
      <c r="X83" s="34"/>
      <c r="Y83" s="19">
        <v>13</v>
      </c>
      <c r="Z83" s="19">
        <v>3.9</v>
      </c>
      <c r="AA83" s="19">
        <v>1.4</v>
      </c>
      <c r="AB83" s="22"/>
      <c r="AC83" s="22"/>
      <c r="AD83" s="22"/>
      <c r="AE83" s="22"/>
      <c r="AF83" s="22"/>
      <c r="AG83" s="22"/>
    </row>
    <row r="84" spans="15:33" ht="12.75">
      <c r="O84" s="5"/>
      <c r="P84" s="5"/>
      <c r="Q84" s="5"/>
      <c r="R84" s="5"/>
      <c r="S84" s="19"/>
      <c r="T84" s="22">
        <v>140</v>
      </c>
      <c r="U84" s="19"/>
      <c r="V84" s="19"/>
      <c r="W84" s="19"/>
      <c r="X84" s="34"/>
      <c r="Y84" s="19">
        <v>15.1</v>
      </c>
      <c r="Z84" s="19">
        <v>4.5</v>
      </c>
      <c r="AA84" s="19">
        <v>1.6</v>
      </c>
      <c r="AB84" s="22"/>
      <c r="AC84" s="22"/>
      <c r="AD84" s="22"/>
      <c r="AE84" s="22"/>
      <c r="AF84" s="22"/>
      <c r="AG84" s="22"/>
    </row>
    <row r="85" spans="15:33" ht="12.75">
      <c r="O85" s="5"/>
      <c r="P85" s="5"/>
      <c r="Q85" s="5"/>
      <c r="R85" s="5"/>
      <c r="S85" s="19"/>
      <c r="T85" s="22">
        <v>150</v>
      </c>
      <c r="U85" s="19"/>
      <c r="V85" s="19"/>
      <c r="W85" s="19"/>
      <c r="X85" s="34"/>
      <c r="Y85" s="19">
        <v>17.3</v>
      </c>
      <c r="Z85" s="19">
        <v>5.1</v>
      </c>
      <c r="AA85" s="19">
        <v>1.8</v>
      </c>
      <c r="AB85" s="22"/>
      <c r="AC85" s="22"/>
      <c r="AD85" s="22"/>
      <c r="AE85" s="22"/>
      <c r="AF85" s="22"/>
      <c r="AG85" s="22"/>
    </row>
    <row r="86" spans="15:33" ht="12.75">
      <c r="O86" s="5"/>
      <c r="P86" s="5"/>
      <c r="Q86" s="5"/>
      <c r="R86" s="5"/>
      <c r="S86" s="19"/>
      <c r="T86" s="22">
        <v>160</v>
      </c>
      <c r="U86" s="19"/>
      <c r="V86" s="19"/>
      <c r="W86" s="19"/>
      <c r="X86" s="34"/>
      <c r="Y86" s="19">
        <v>20</v>
      </c>
      <c r="Z86" s="19">
        <v>5.8</v>
      </c>
      <c r="AA86" s="19">
        <v>2.1</v>
      </c>
      <c r="AB86" s="22"/>
      <c r="AC86" s="22"/>
      <c r="AD86" s="22"/>
      <c r="AE86" s="22"/>
      <c r="AF86" s="22"/>
      <c r="AG86" s="22"/>
    </row>
    <row r="87" spans="15:33" ht="12.75">
      <c r="O87" s="5"/>
      <c r="P87" s="5"/>
      <c r="Q87" s="5"/>
      <c r="R87" s="5"/>
      <c r="S87" s="19"/>
      <c r="T87" s="22">
        <v>170</v>
      </c>
      <c r="U87" s="19"/>
      <c r="V87" s="19"/>
      <c r="W87" s="19"/>
      <c r="X87" s="34"/>
      <c r="Z87" s="19">
        <v>6.5</v>
      </c>
      <c r="AA87" s="19">
        <v>2.4</v>
      </c>
      <c r="AB87" s="22"/>
      <c r="AC87" s="22"/>
      <c r="AD87" s="22"/>
      <c r="AE87" s="22"/>
      <c r="AF87" s="22"/>
      <c r="AG87" s="22"/>
    </row>
    <row r="88" spans="15:33" ht="12.75">
      <c r="O88" s="5"/>
      <c r="P88" s="5"/>
      <c r="Q88" s="5"/>
      <c r="R88" s="5"/>
      <c r="S88" s="19"/>
      <c r="T88" s="22">
        <v>180</v>
      </c>
      <c r="U88" s="19"/>
      <c r="V88" s="19"/>
      <c r="W88" s="19"/>
      <c r="X88" s="34"/>
      <c r="Z88" s="19">
        <v>7.2</v>
      </c>
      <c r="AA88" s="19">
        <v>2.7</v>
      </c>
      <c r="AB88" s="22"/>
      <c r="AC88" s="22"/>
      <c r="AD88" s="22"/>
      <c r="AE88" s="22"/>
      <c r="AF88" s="22"/>
      <c r="AG88" s="22"/>
    </row>
    <row r="89" spans="15:33" ht="12.75">
      <c r="O89" s="5"/>
      <c r="P89" s="5"/>
      <c r="Q89" s="5"/>
      <c r="R89" s="5"/>
      <c r="S89" s="19"/>
      <c r="T89" s="22">
        <v>190</v>
      </c>
      <c r="U89" s="19"/>
      <c r="V89" s="19"/>
      <c r="W89" s="19"/>
      <c r="X89" s="34"/>
      <c r="Z89" s="19">
        <v>8</v>
      </c>
      <c r="AA89" s="19">
        <v>3</v>
      </c>
      <c r="AB89" s="22"/>
      <c r="AC89" s="22"/>
      <c r="AD89" s="22"/>
      <c r="AE89" s="22"/>
      <c r="AF89" s="22"/>
      <c r="AG89" s="22"/>
    </row>
    <row r="90" spans="15:33" ht="12.75">
      <c r="O90" s="5"/>
      <c r="P90" s="5"/>
      <c r="Q90" s="5"/>
      <c r="R90" s="5"/>
      <c r="S90" s="19"/>
      <c r="T90" s="22">
        <v>200</v>
      </c>
      <c r="U90" s="19"/>
      <c r="V90" s="19"/>
      <c r="W90" s="19"/>
      <c r="X90" s="34"/>
      <c r="Z90" s="19">
        <v>9</v>
      </c>
      <c r="AA90" s="19">
        <v>3.2</v>
      </c>
      <c r="AB90" s="22"/>
      <c r="AC90" s="22"/>
      <c r="AD90" s="22"/>
      <c r="AE90" s="22"/>
      <c r="AF90" s="22"/>
      <c r="AG90" s="22"/>
    </row>
    <row r="91" spans="15:33" ht="12.75">
      <c r="O91" s="5"/>
      <c r="P91" s="5"/>
      <c r="Q91" s="5"/>
      <c r="R91" s="5"/>
      <c r="S91" s="19"/>
      <c r="T91" s="22">
        <v>220</v>
      </c>
      <c r="U91" s="19"/>
      <c r="V91" s="19"/>
      <c r="W91" s="19"/>
      <c r="X91" s="34"/>
      <c r="Z91" s="19">
        <v>11</v>
      </c>
      <c r="AA91" s="19">
        <v>3.9</v>
      </c>
      <c r="AB91" s="22"/>
      <c r="AC91" s="22"/>
      <c r="AD91" s="22"/>
      <c r="AE91" s="22"/>
      <c r="AF91" s="22"/>
      <c r="AG91" s="22"/>
    </row>
    <row r="92" spans="15:33" ht="12.75">
      <c r="O92" s="5"/>
      <c r="P92" s="5"/>
      <c r="Q92" s="5"/>
      <c r="R92" s="5"/>
      <c r="S92" s="19"/>
      <c r="T92" s="22">
        <v>240</v>
      </c>
      <c r="U92" s="19"/>
      <c r="V92" s="19"/>
      <c r="W92" s="19"/>
      <c r="X92" s="34"/>
      <c r="Z92" s="19">
        <v>13</v>
      </c>
      <c r="AA92" s="19">
        <v>4.7</v>
      </c>
      <c r="AB92" s="22"/>
      <c r="AC92" s="22"/>
      <c r="AD92" s="22"/>
      <c r="AE92" s="22"/>
      <c r="AF92" s="22"/>
      <c r="AG92" s="22"/>
    </row>
    <row r="93" spans="15:33" ht="12.75">
      <c r="O93" s="5"/>
      <c r="P93" s="5"/>
      <c r="Q93" s="5"/>
      <c r="R93" s="5"/>
      <c r="S93" s="19"/>
      <c r="T93" s="22">
        <v>260</v>
      </c>
      <c r="U93" s="19"/>
      <c r="V93" s="19"/>
      <c r="W93" s="19"/>
      <c r="X93" s="34"/>
      <c r="Z93" s="19">
        <v>15</v>
      </c>
      <c r="AA93" s="19">
        <v>5.5</v>
      </c>
      <c r="AB93" s="22"/>
      <c r="AC93" s="22"/>
      <c r="AD93" s="22"/>
      <c r="AE93" s="22"/>
      <c r="AF93" s="22"/>
      <c r="AG93" s="22"/>
    </row>
    <row r="94" spans="15:33" ht="12.75">
      <c r="O94" s="5"/>
      <c r="P94" s="5"/>
      <c r="Q94" s="5"/>
      <c r="R94" s="5"/>
      <c r="S94" s="19"/>
      <c r="T94" s="22">
        <v>280</v>
      </c>
      <c r="U94" s="19"/>
      <c r="V94" s="19"/>
      <c r="W94" s="19"/>
      <c r="X94" s="34"/>
      <c r="Z94" s="19">
        <v>17.3</v>
      </c>
      <c r="AA94" s="19">
        <v>6.3</v>
      </c>
      <c r="AB94" s="22"/>
      <c r="AC94" s="22"/>
      <c r="AD94" s="22"/>
      <c r="AE94" s="22"/>
      <c r="AF94" s="22"/>
      <c r="AG94" s="22"/>
    </row>
    <row r="95" spans="15:33" ht="12.75">
      <c r="O95" s="5"/>
      <c r="P95" s="5"/>
      <c r="Q95" s="5"/>
      <c r="R95" s="5"/>
      <c r="S95" s="19"/>
      <c r="T95" s="22">
        <v>300</v>
      </c>
      <c r="U95" s="19"/>
      <c r="V95" s="19"/>
      <c r="W95" s="19"/>
      <c r="X95" s="34"/>
      <c r="Z95" s="19">
        <v>20</v>
      </c>
      <c r="AA95" s="19">
        <v>7.2</v>
      </c>
      <c r="AB95" s="22"/>
      <c r="AC95" s="22"/>
      <c r="AD95" s="22"/>
      <c r="AE95" s="22"/>
      <c r="AF95" s="22"/>
      <c r="AG95" s="22"/>
    </row>
    <row r="96" spans="15:33" ht="12.75">
      <c r="O96" s="5"/>
      <c r="P96" s="5"/>
      <c r="Q96" s="5"/>
      <c r="R96" s="5"/>
      <c r="S96" s="19"/>
      <c r="T96" s="22">
        <v>350</v>
      </c>
      <c r="U96" s="19"/>
      <c r="V96" s="19"/>
      <c r="W96" s="19"/>
      <c r="X96" s="34"/>
      <c r="Z96" s="19"/>
      <c r="AA96" s="19">
        <v>10</v>
      </c>
      <c r="AB96" s="22"/>
      <c r="AC96" s="22"/>
      <c r="AD96" s="22"/>
      <c r="AE96" s="22"/>
      <c r="AF96" s="22"/>
      <c r="AG96" s="22"/>
    </row>
    <row r="97" spans="15:33" ht="12.75">
      <c r="O97" s="5"/>
      <c r="P97" s="5"/>
      <c r="Q97" s="5"/>
      <c r="R97" s="5"/>
      <c r="S97" s="19"/>
      <c r="T97" s="22">
        <v>400</v>
      </c>
      <c r="U97" s="19"/>
      <c r="V97" s="19"/>
      <c r="W97" s="19"/>
      <c r="X97" s="34"/>
      <c r="Z97" s="19"/>
      <c r="AA97" s="19">
        <v>13</v>
      </c>
      <c r="AB97" s="22"/>
      <c r="AC97" s="22"/>
      <c r="AD97" s="22"/>
      <c r="AE97" s="22"/>
      <c r="AF97" s="22"/>
      <c r="AG97" s="22"/>
    </row>
    <row r="98" spans="15:33" ht="12.75">
      <c r="O98" s="5"/>
      <c r="P98" s="5"/>
      <c r="Q98" s="5"/>
      <c r="R98" s="5"/>
      <c r="S98" s="19"/>
      <c r="T98" s="22">
        <v>450</v>
      </c>
      <c r="U98" s="19"/>
      <c r="V98" s="19"/>
      <c r="W98" s="19"/>
      <c r="X98" s="34"/>
      <c r="Z98" s="19"/>
      <c r="AA98" s="19">
        <v>16.2</v>
      </c>
      <c r="AB98" s="22"/>
      <c r="AC98" s="22"/>
      <c r="AD98" s="22"/>
      <c r="AE98" s="22"/>
      <c r="AF98" s="22"/>
      <c r="AG98" s="22"/>
    </row>
    <row r="99" spans="15:33" ht="12.75">
      <c r="O99" s="5"/>
      <c r="P99" s="5"/>
      <c r="Q99" s="5"/>
      <c r="R99" s="5"/>
      <c r="S99" s="19"/>
      <c r="T99" s="22">
        <v>500</v>
      </c>
      <c r="U99" s="19"/>
      <c r="V99" s="19"/>
      <c r="W99" s="19"/>
      <c r="X99" s="34"/>
      <c r="Z99" s="19"/>
      <c r="AA99" s="19">
        <v>20</v>
      </c>
      <c r="AB99" s="22"/>
      <c r="AC99" s="22"/>
      <c r="AD99" s="22"/>
      <c r="AE99" s="22"/>
      <c r="AF99" s="22"/>
      <c r="AG99" s="22"/>
    </row>
    <row r="100" spans="15:33" ht="12.75">
      <c r="O100" s="5"/>
      <c r="P100" s="5"/>
      <c r="Q100" s="5"/>
      <c r="R100" s="5"/>
      <c r="S100" s="19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</row>
    <row r="101" spans="15:33" ht="12.75">
      <c r="O101" s="5"/>
      <c r="P101" s="5"/>
      <c r="Q101" s="5"/>
      <c r="R101" s="5"/>
      <c r="S101" s="19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</row>
    <row r="102" spans="15:33" ht="12.75">
      <c r="O102" s="5"/>
      <c r="P102" s="5"/>
      <c r="Q102" s="5"/>
      <c r="R102" s="5"/>
      <c r="S102" s="19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</row>
    <row r="103" spans="15:33" ht="12.75">
      <c r="O103" s="5"/>
      <c r="P103" s="5"/>
      <c r="Q103" s="5"/>
      <c r="R103" s="5"/>
      <c r="S103" s="19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</row>
    <row r="104" spans="15:33" ht="12.75">
      <c r="O104" s="5"/>
      <c r="P104" s="5"/>
      <c r="Q104" s="5"/>
      <c r="R104" s="5"/>
      <c r="S104" s="19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</row>
    <row r="105" spans="19:33" ht="12.75"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</row>
    <row r="106" spans="19:33" ht="12.75"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</row>
    <row r="107" spans="19:33" ht="12.75"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19:33" ht="12.75"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</row>
    <row r="109" spans="19:33" ht="12.75"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</row>
    <row r="110" spans="19:33" ht="12.75"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</row>
    <row r="111" spans="19:33" ht="12.75"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</row>
    <row r="112" spans="19:33" ht="12.75"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</row>
    <row r="113" spans="19:33" ht="12.75"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</row>
    <row r="114" spans="19:33" ht="12.75"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</row>
    <row r="115" spans="19:33" ht="12.75"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</row>
    <row r="116" spans="19:33" ht="12.75"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</row>
    <row r="117" spans="19:33" ht="12.75"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</row>
    <row r="118" spans="19:33" ht="12.75"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</row>
    <row r="119" spans="19:33" ht="12.75"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</row>
    <row r="120" spans="19:33" ht="12.75"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</row>
    <row r="121" spans="19:33" ht="12.75"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</row>
    <row r="122" spans="19:33" ht="12.75"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</row>
    <row r="123" spans="19:33" ht="12.75"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</row>
    <row r="124" spans="19:33" ht="12.75"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</row>
    <row r="125" spans="19:33" ht="12.75"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</row>
    <row r="126" spans="19:33" ht="12.75"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</row>
    <row r="127" spans="19:33" ht="12.75"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</row>
    <row r="128" spans="19:33" ht="12.75"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</row>
    <row r="129" spans="19:33" ht="12.75"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</row>
    <row r="130" spans="19:33" ht="12.75"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</row>
    <row r="131" spans="19:33" ht="12.75"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</row>
    <row r="132" spans="20:33" ht="12.75"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</row>
    <row r="133" spans="20:33" ht="12.75"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</row>
    <row r="134" spans="20:33" ht="12.75"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</row>
    <row r="135" spans="20:33" ht="12.75"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</row>
    <row r="136" spans="20:33" ht="12.75"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</row>
    <row r="137" spans="20:33" ht="12.75"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</row>
    <row r="138" spans="20:33" ht="12.75"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</row>
    <row r="139" spans="20:33" ht="12.75"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</row>
    <row r="140" spans="20:33" ht="12.75"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</row>
    <row r="141" spans="20:33" ht="12.75"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</row>
    <row r="142" spans="20:33" ht="12.75"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</row>
    <row r="143" spans="20:33" ht="12.75"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</row>
    <row r="144" spans="20:33" ht="12.75"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</row>
    <row r="145" spans="20:33" ht="12.75"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</row>
    <row r="146" spans="20:33" ht="12.75"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</row>
    <row r="147" spans="20:33" ht="12.75"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</row>
    <row r="148" spans="20:33" ht="12.75"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</row>
    <row r="149" spans="20:33" ht="12.75"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</row>
    <row r="150" spans="20:33" ht="12.75"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</row>
    <row r="151" spans="20:33" ht="12.75"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</row>
    <row r="152" spans="20:33" ht="12.75"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</row>
    <row r="153" spans="20:33" ht="12.75"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</row>
    <row r="154" spans="20:33" ht="12.75"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</row>
    <row r="155" spans="20:33" ht="12.75"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</row>
    <row r="156" spans="20:33" ht="12.75"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</row>
    <row r="157" spans="20:33" ht="12.75"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</row>
    <row r="158" spans="20:33" ht="12.75"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</row>
    <row r="159" spans="20:33" ht="12.75"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</row>
    <row r="160" spans="20:33" ht="12.75"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</row>
    <row r="161" spans="20:33" ht="12.75"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</row>
    <row r="162" spans="20:33" ht="12.75"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</row>
    <row r="163" spans="20:33" ht="12.75"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</row>
    <row r="164" spans="20:33" ht="12.75"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</row>
    <row r="165" spans="20:33" ht="12.75"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</row>
    <row r="166" spans="20:33" ht="12.75"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</row>
    <row r="167" spans="20:33" ht="12.75"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</row>
    <row r="168" spans="20:33" ht="12.75"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</row>
    <row r="169" spans="20:33" ht="12.75"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</row>
    <row r="170" spans="20:33" ht="12.75"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</row>
    <row r="171" spans="20:33" ht="12.75"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</row>
    <row r="172" spans="20:33" ht="12.75"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</row>
    <row r="173" spans="20:33" ht="12.75"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</row>
    <row r="174" spans="20:33" ht="12.75"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</row>
    <row r="175" spans="20:33" ht="12.75"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</row>
    <row r="176" spans="20:33" ht="12.75"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</row>
    <row r="177" spans="20:33" ht="12.75"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</row>
    <row r="178" spans="20:33" ht="12.75"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</row>
    <row r="179" spans="20:33" ht="12.75"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</row>
    <row r="180" spans="20:33" ht="12.75"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</row>
    <row r="181" spans="20:33" ht="12.75"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</row>
    <row r="182" spans="20:33" ht="12.75"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</row>
    <row r="183" spans="20:33" ht="12.75"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</row>
    <row r="184" spans="20:33" ht="12.75"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</row>
    <row r="185" spans="20:33" ht="12.75"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</row>
    <row r="186" spans="20:33" ht="12.75"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</row>
    <row r="187" spans="20:33" ht="12.75"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</row>
    <row r="188" spans="20:33" ht="12.75"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</row>
    <row r="189" spans="20:33" ht="12.75"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</row>
    <row r="190" spans="20:33" ht="12.75"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</row>
    <row r="191" spans="20:33" ht="12.75"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</row>
    <row r="192" spans="20:33" ht="12.75"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</row>
    <row r="193" spans="20:33" ht="12.75"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</row>
    <row r="194" spans="20:33" ht="12.75"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</row>
    <row r="195" spans="20:33" ht="12.75"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</row>
    <row r="196" spans="20:33" ht="12.75"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</row>
    <row r="197" spans="20:33" ht="12.75"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</row>
    <row r="198" spans="20:33" ht="12.75"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</row>
    <row r="199" spans="20:33" ht="12.75"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</row>
    <row r="200" spans="20:33" ht="12.75"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</row>
    <row r="201" spans="20:33" ht="12.75"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</row>
    <row r="202" spans="20:33" ht="12.75"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</row>
    <row r="203" spans="20:33" ht="12.75"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</row>
    <row r="204" spans="20:33" ht="12.75"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</row>
    <row r="205" spans="20:33" ht="12.75"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</row>
    <row r="206" spans="20:33" ht="12.75"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</row>
    <row r="207" spans="20:33" ht="12.75"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</row>
    <row r="208" spans="20:33" ht="12.75"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</row>
    <row r="209" spans="20:33" ht="12.75"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</row>
    <row r="210" spans="20:33" ht="12.75"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</row>
    <row r="211" spans="20:33" ht="12.75"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</row>
    <row r="212" spans="20:33" ht="12.75"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</row>
    <row r="213" spans="20:33" ht="12.75"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</row>
    <row r="214" spans="20:33" ht="12.75"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</row>
    <row r="215" spans="20:33" ht="12.75"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</row>
    <row r="216" spans="20:33" ht="12.75"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</row>
    <row r="217" spans="20:33" ht="12.75"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</row>
    <row r="218" spans="20:33" ht="12.75"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</row>
    <row r="219" spans="20:33" ht="12.75"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</row>
    <row r="220" spans="20:33" ht="12.75"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</row>
    <row r="221" spans="20:33" ht="12.75"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</row>
    <row r="222" spans="20:33" ht="12.75"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</row>
    <row r="223" spans="20:33" ht="12.75"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</row>
    <row r="224" spans="20:33" ht="12.75"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</row>
    <row r="225" spans="20:33" ht="12.75"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</row>
    <row r="226" spans="20:33" ht="12.75"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</row>
    <row r="227" spans="20:33" ht="12.75"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</row>
    <row r="228" spans="20:33" ht="12.75"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</row>
    <row r="229" spans="20:33" ht="12.75"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</row>
    <row r="230" spans="20:33" ht="12.75"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</row>
    <row r="231" spans="20:33" ht="12.75"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</row>
    <row r="232" spans="20:33" ht="12.75"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</row>
    <row r="233" spans="20:33" ht="12.75"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</row>
    <row r="234" spans="20:33" ht="12.75"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</row>
    <row r="235" spans="20:33" ht="12.75"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</row>
    <row r="236" spans="20:33" ht="12.75"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</row>
    <row r="237" spans="20:33" ht="12.75"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</row>
    <row r="238" spans="20:33" ht="12.75"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</row>
    <row r="239" spans="20:33" ht="12.75"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</row>
    <row r="240" spans="20:33" ht="12.75"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</row>
    <row r="241" spans="20:33" ht="12.75"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</row>
    <row r="242" spans="20:33" ht="12.75"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</row>
    <row r="243" spans="20:33" ht="12.75"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</row>
    <row r="244" spans="20:33" ht="12.75"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</row>
    <row r="245" spans="20:33" ht="12.75"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</row>
    <row r="246" spans="20:33" ht="12.75"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</row>
    <row r="247" spans="20:33" ht="12.75"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</row>
    <row r="248" spans="20:33" ht="12.75"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</row>
    <row r="249" spans="20:33" ht="12.75"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</row>
    <row r="250" spans="20:33" ht="12.75"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</row>
    <row r="251" spans="20:33" ht="12.75"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</row>
    <row r="252" spans="20:33" ht="12.75"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</row>
    <row r="253" spans="20:33" ht="12.75"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</row>
    <row r="254" spans="20:33" ht="12.75"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</row>
    <row r="255" spans="20:33" ht="12.75"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</row>
    <row r="256" spans="20:33" ht="12.75"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</row>
    <row r="257" spans="20:33" ht="12.75"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</row>
    <row r="258" spans="20:33" ht="12.75"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</row>
    <row r="259" spans="20:33" ht="12.75"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</row>
    <row r="260" spans="20:33" ht="12.75"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</row>
    <row r="261" spans="20:33" ht="12.75"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</row>
  </sheetData>
  <sheetProtection sheet="1" objects="1" scenarios="1"/>
  <mergeCells count="15">
    <mergeCell ref="R3:AG3"/>
    <mergeCell ref="B2:J2"/>
    <mergeCell ref="G11:I11"/>
    <mergeCell ref="G13:I13"/>
    <mergeCell ref="G12:I12"/>
    <mergeCell ref="G5:I5"/>
    <mergeCell ref="G9:I9"/>
    <mergeCell ref="AN33:AR33"/>
    <mergeCell ref="R5:AG5"/>
    <mergeCell ref="AC16:AE16"/>
    <mergeCell ref="Z16:AB16"/>
    <mergeCell ref="W16:Y16"/>
    <mergeCell ref="AD33:AH33"/>
    <mergeCell ref="AI33:AM33"/>
    <mergeCell ref="U16:V16"/>
  </mergeCells>
  <conditionalFormatting sqref="B14 J13:J14">
    <cfRule type="cellIs" priority="1" dxfId="0" operator="equal" stopIfTrue="1">
      <formula>"high flow"</formula>
    </cfRule>
  </conditionalFormatting>
  <conditionalFormatting sqref="G9:I9">
    <cfRule type="cellIs" priority="2" dxfId="1" operator="equal" stopIfTrue="1">
      <formula>"choose different pipe size or type"</formula>
    </cfRule>
  </conditionalFormatting>
  <conditionalFormatting sqref="G11:I11">
    <cfRule type="cellIs" priority="3" dxfId="1" operator="equal" stopIfTrue="1">
      <formula>"Flow Too High for Valve Size"</formula>
    </cfRule>
    <cfRule type="cellIs" priority="4" dxfId="1" operator="equal" stopIfTrue="1">
      <formula>"flow too low for valve size"</formula>
    </cfRule>
    <cfRule type="cellIs" priority="5" dxfId="1" operator="equal" stopIfTrue="1">
      <formula>"flow outside valve parameters"</formula>
    </cfRule>
  </conditionalFormatting>
  <conditionalFormatting sqref="G12:I12">
    <cfRule type="cellIs" priority="6" dxfId="1" operator="equal" stopIfTrue="1">
      <formula>"Velocity too high for pipe size"</formula>
    </cfRule>
  </conditionalFormatting>
  <conditionalFormatting sqref="G13:I14">
    <cfRule type="cellIs" priority="7" dxfId="1" operator="equal" stopIfTrue="1">
      <formula>"flow too high for backflow size"</formula>
    </cfRule>
  </conditionalFormatting>
  <conditionalFormatting sqref="G5:I5">
    <cfRule type="cellIs" priority="8" dxfId="1" operator="equal" stopIfTrue="1">
      <formula>"Flow Too High for Meter Size"</formula>
    </cfRule>
    <cfRule type="cellIs" priority="9" dxfId="1" operator="equal" stopIfTrue="1">
      <formula>"excessive pressure loss through meter"</formula>
    </cfRule>
  </conditionalFormatting>
  <conditionalFormatting sqref="C20">
    <cfRule type="cellIs" priority="10" dxfId="0" operator="equal" stopIfTrue="1">
      <formula>0</formula>
    </cfRule>
  </conditionalFormatting>
  <conditionalFormatting sqref="C26">
    <cfRule type="cellIs" priority="11" dxfId="2" operator="equal" stopIfTrue="1">
      <formula>0</formula>
    </cfRule>
  </conditionalFormatting>
  <conditionalFormatting sqref="B5">
    <cfRule type="cellIs" priority="12" dxfId="0" operator="equal" stopIfTrue="1">
      <formula>"high flow"</formula>
    </cfRule>
    <cfRule type="cellIs" priority="13" dxfId="0" operator="greaterThan" stopIfTrue="1">
      <formula>0</formula>
    </cfRule>
  </conditionalFormatting>
  <dataValidations count="8">
    <dataValidation errorStyle="warning" type="list" allowBlank="1" showInputMessage="1" showErrorMessage="1" errorTitle="Select From List" error="Please Select a Backflow Size From List" sqref="C14">
      <formula1>$N$44:$N$48</formula1>
    </dataValidation>
    <dataValidation errorStyle="information" type="list" allowBlank="1" showInputMessage="1" showErrorMessage="1" errorTitle="Not in List" error="Please Select a Pipe Size in List" sqref="C8">
      <formula1>$Q$4:$AG$4</formula1>
    </dataValidation>
    <dataValidation errorStyle="information" type="list" allowBlank="1" showInputMessage="1" showErrorMessage="1" errorTitle="Not in List" error="Please Select a Pipe Size in the List" sqref="C9">
      <formula1>$O$5:$O$10</formula1>
    </dataValidation>
    <dataValidation errorStyle="information" allowBlank="1" showInputMessage="1" showErrorMessage="1" errorTitle="Not in List" error="Please Select a Pipe Size in the List" sqref="D9"/>
    <dataValidation errorStyle="information" allowBlank="1" showInputMessage="1" showErrorMessage="1" errorTitle="Not in List" error="Please Select a Valve Type in List" sqref="D11"/>
    <dataValidation errorStyle="information" type="list" allowBlank="1" showInputMessage="1" showErrorMessage="1" errorTitle="Not in List" error="Please Select a Valve Type in List" sqref="C11">
      <formula1>$O$17:$O$28</formula1>
    </dataValidation>
    <dataValidation errorStyle="warning" type="list" allowBlank="1" showInputMessage="1" showErrorMessage="1" errorTitle="Select Size From List" error="Please Select Meter Size From List&#10;" sqref="C5">
      <formula1>$N$35:$N$41</formula1>
    </dataValidation>
    <dataValidation errorStyle="warning" type="list" allowBlank="1" showInputMessage="1" showErrorMessage="1" errorTitle="Choose From List" error="Please Choose Backflow Type From List" sqref="C13">
      <formula1>$O$50:$O$53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P. Law,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Huntley</dc:creator>
  <cp:keywords/>
  <dc:description/>
  <cp:lastModifiedBy>Cameron Huntley</cp:lastModifiedBy>
  <dcterms:created xsi:type="dcterms:W3CDTF">2010-06-15T15:39:25Z</dcterms:created>
  <dcterms:modified xsi:type="dcterms:W3CDTF">2010-08-31T12:25:52Z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